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阀门系数Cv值 " sheetId="1" r:id="rId1"/>
    <sheet name="阀门系数Kv值 " sheetId="2" r:id="rId2"/>
    <sheet name="其它" sheetId="3" r:id="rId3"/>
  </sheets>
  <definedNames/>
  <calcPr fullCalcOnLoad="1"/>
</workbook>
</file>

<file path=xl/sharedStrings.xml><?xml version="1.0" encoding="utf-8"?>
<sst xmlns="http://schemas.openxmlformats.org/spreadsheetml/2006/main" count="486" uniqueCount="181">
  <si>
    <t>阀门系数Cv值</t>
  </si>
  <si>
    <t>一.液体</t>
  </si>
  <si>
    <t>附表1:典型FL系数</t>
  </si>
  <si>
    <r>
      <t xml:space="preserve"> 压力恢复系数F</t>
    </r>
    <r>
      <rPr>
        <b/>
        <vertAlign val="subscript"/>
        <sz val="10"/>
        <color indexed="12"/>
        <rFont val="宋体"/>
        <family val="0"/>
      </rPr>
      <t>L</t>
    </r>
  </si>
  <si>
    <t>=</t>
  </si>
  <si>
    <t>查附表1</t>
  </si>
  <si>
    <t>调节阀形式</t>
  </si>
  <si>
    <t>流向</t>
  </si>
  <si>
    <t>FL值</t>
  </si>
  <si>
    <t>液体临界压力Pc</t>
  </si>
  <si>
    <t>psia</t>
  </si>
  <si>
    <t>查附表2</t>
  </si>
  <si>
    <t>单座调节阀</t>
  </si>
  <si>
    <t>柱塞形阀芯</t>
  </si>
  <si>
    <t>流开</t>
  </si>
  <si>
    <t>0.90</t>
  </si>
  <si>
    <t>流量Q</t>
  </si>
  <si>
    <t>gal/min</t>
  </si>
  <si>
    <t>流闭</t>
  </si>
  <si>
    <t>0.80</t>
  </si>
  <si>
    <t>液体比重Sg</t>
  </si>
  <si>
    <t>“V”形阀芯</t>
  </si>
  <si>
    <t>任意流向</t>
  </si>
  <si>
    <t>液体的蒸气压力Pv</t>
  </si>
  <si>
    <t>套筒形阀芯</t>
  </si>
  <si>
    <t>上游压力P1</t>
  </si>
  <si>
    <t>下游压力P2</t>
  </si>
  <si>
    <t xml:space="preserve"> 双座调节阀</t>
  </si>
  <si>
    <t>压力降△P</t>
  </si>
  <si>
    <t>P1-P2</t>
  </si>
  <si>
    <t>阻塞压力降△Pc1</t>
  </si>
  <si>
    <r>
      <t>F</t>
    </r>
    <r>
      <rPr>
        <vertAlign val="subscript"/>
        <sz val="10"/>
        <rFont val="宋体"/>
        <family val="0"/>
      </rPr>
      <t>L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(P1-Pv)</t>
    </r>
  </si>
  <si>
    <t xml:space="preserve"> 角形调节阀</t>
  </si>
  <si>
    <t>阻塞压力降△Pc2</t>
  </si>
  <si>
    <r>
      <t>F</t>
    </r>
    <r>
      <rPr>
        <vertAlign val="subscript"/>
        <sz val="10"/>
        <rFont val="宋体"/>
        <family val="0"/>
      </rPr>
      <t>L</t>
    </r>
    <r>
      <rPr>
        <vertAlign val="superscript"/>
        <sz val="10"/>
        <rFont val="宋体"/>
        <family val="0"/>
      </rPr>
      <t>2</t>
    </r>
    <r>
      <rPr>
        <sz val="10"/>
        <rFont val="宋体"/>
        <family val="0"/>
      </rPr>
      <t>(P1-(0.96-0.28   )Pv</t>
    </r>
  </si>
  <si>
    <t>比较Pv与0.5P1值的大小</t>
  </si>
  <si>
    <t>IF(Pv＜0.5P1,△Pc=△Pc1,否则为△Pc=△Pc2)</t>
  </si>
  <si>
    <t>阻塞压力降△Pc</t>
  </si>
  <si>
    <t>比较△P与△Pc的大小</t>
  </si>
  <si>
    <t>IF(△P＜△Pc,为一般流动"1",否则为阻塞流动"2")</t>
  </si>
  <si>
    <t>文丘里形</t>
  </si>
  <si>
    <t>0.50</t>
  </si>
  <si>
    <t>判别流动状态</t>
  </si>
  <si>
    <t>球阀</t>
  </si>
  <si>
    <t>“O”型</t>
  </si>
  <si>
    <t>阀门系数Cv1值</t>
  </si>
  <si>
    <t>Q</t>
  </si>
  <si>
    <t>一般流动</t>
  </si>
  <si>
    <t>蝶阀</t>
  </si>
  <si>
    <t>60°全开</t>
  </si>
  <si>
    <t>90°全开</t>
  </si>
  <si>
    <t>阀门系数Cv2值</t>
  </si>
  <si>
    <t>阻塞流动</t>
  </si>
  <si>
    <t>偏心旋转阀</t>
  </si>
  <si>
    <t>IF(△P＜△Pc,Cv="Cv1",否则为Cv="Cv2")</t>
  </si>
  <si>
    <t>附表2:常用工艺流体的临界压力Pc</t>
  </si>
  <si>
    <t>液体</t>
  </si>
  <si>
    <t>临界压力/(psia/bar)</t>
  </si>
  <si>
    <t>氨气</t>
  </si>
  <si>
    <t>1636.1/112.8</t>
  </si>
  <si>
    <t>异丁烷</t>
  </si>
  <si>
    <t>529.2/36.5</t>
  </si>
  <si>
    <t>氩</t>
  </si>
  <si>
    <t>707.0/49.0</t>
  </si>
  <si>
    <t>异丁烯</t>
  </si>
  <si>
    <t>二.气体</t>
  </si>
  <si>
    <t>苯</t>
  </si>
  <si>
    <t>710.0/49.0</t>
  </si>
  <si>
    <t>煤油</t>
  </si>
  <si>
    <t>350.0/24.1</t>
  </si>
  <si>
    <t>丁烷</t>
  </si>
  <si>
    <t>551.2/38.0</t>
  </si>
  <si>
    <t>甲烷</t>
  </si>
  <si>
    <t>667.3/46.0</t>
  </si>
  <si>
    <t>scfh</t>
  </si>
  <si>
    <r>
      <t>CO</t>
    </r>
    <r>
      <rPr>
        <vertAlign val="subscript"/>
        <sz val="10"/>
        <rFont val="宋体"/>
        <family val="0"/>
      </rPr>
      <t>2</t>
    </r>
  </si>
  <si>
    <t>1070.2/73.8</t>
  </si>
  <si>
    <t>氮</t>
  </si>
  <si>
    <t>492.4/33.9</t>
  </si>
  <si>
    <t>气体重度Gg</t>
  </si>
  <si>
    <t>CO</t>
  </si>
  <si>
    <t>507.1/35.0</t>
  </si>
  <si>
    <t>一氧化氮</t>
  </si>
  <si>
    <t>1051.1/72.5</t>
  </si>
  <si>
    <t>氯</t>
  </si>
  <si>
    <t>1117.2/77.0</t>
  </si>
  <si>
    <t>氧</t>
  </si>
  <si>
    <t>732.0/50.5</t>
  </si>
  <si>
    <t>道氏热载体A</t>
  </si>
  <si>
    <t>547.0/37.7</t>
  </si>
  <si>
    <t>光气</t>
  </si>
  <si>
    <t>823.2/56.8</t>
  </si>
  <si>
    <t>乙烷</t>
  </si>
  <si>
    <t>708.5/48.8</t>
  </si>
  <si>
    <t>丙烷</t>
  </si>
  <si>
    <t>615.9/42.5</t>
  </si>
  <si>
    <t>温度T</t>
  </si>
  <si>
    <t>°F</t>
  </si>
  <si>
    <t>乙烯</t>
  </si>
  <si>
    <t>730.5/50.3</t>
  </si>
  <si>
    <t>丙烯</t>
  </si>
  <si>
    <t>670.3/46.2</t>
  </si>
  <si>
    <t>绝对上游温度T1(°R=°F+460)</t>
  </si>
  <si>
    <t>燃料油</t>
  </si>
  <si>
    <t>330.0/22.8</t>
  </si>
  <si>
    <t>冷冻剂11</t>
  </si>
  <si>
    <t>639.4/44.1</t>
  </si>
  <si>
    <r>
      <t xml:space="preserve">   比较   与0.5F</t>
    </r>
    <r>
      <rPr>
        <b/>
        <vertAlign val="subscript"/>
        <sz val="10"/>
        <color indexed="12"/>
        <rFont val="宋体"/>
        <family val="0"/>
      </rPr>
      <t>L</t>
    </r>
    <r>
      <rPr>
        <b/>
        <vertAlign val="superscript"/>
        <sz val="10"/>
        <color indexed="12"/>
        <rFont val="宋体"/>
        <family val="0"/>
      </rPr>
      <t>2</t>
    </r>
    <r>
      <rPr>
        <b/>
        <sz val="10"/>
        <color indexed="12"/>
        <rFont val="宋体"/>
        <family val="0"/>
      </rPr>
      <t>的大小</t>
    </r>
  </si>
  <si>
    <r>
      <t>IF(    ＜0.5F</t>
    </r>
    <r>
      <rPr>
        <b/>
        <vertAlign val="subscript"/>
        <sz val="10"/>
        <color indexed="12"/>
        <rFont val="宋体"/>
        <family val="0"/>
      </rPr>
      <t>L</t>
    </r>
    <r>
      <rPr>
        <b/>
        <vertAlign val="superscript"/>
        <sz val="10"/>
        <color indexed="12"/>
        <rFont val="宋体"/>
        <family val="0"/>
      </rPr>
      <t>2</t>
    </r>
    <r>
      <rPr>
        <b/>
        <sz val="10"/>
        <color indexed="12"/>
        <rFont val="宋体"/>
        <family val="0"/>
      </rPr>
      <t>,为一般流动"1",否则为阻塞流动"2")</t>
    </r>
  </si>
  <si>
    <t>汽油</t>
  </si>
  <si>
    <t>410.0/28.3</t>
  </si>
  <si>
    <t>冷冻剂12</t>
  </si>
  <si>
    <t>598.2/41.2</t>
  </si>
  <si>
    <t>氦</t>
  </si>
  <si>
    <t>32.9/2.3</t>
  </si>
  <si>
    <t>冷冻剂22</t>
  </si>
  <si>
    <t>749.7/51.7</t>
  </si>
  <si>
    <t>氢</t>
  </si>
  <si>
    <t>188.1/13.0</t>
  </si>
  <si>
    <t>海水</t>
  </si>
  <si>
    <t>3200.0/220.7</t>
  </si>
  <si>
    <t>HCI</t>
  </si>
  <si>
    <t>1205.4/83.1</t>
  </si>
  <si>
    <t>水</t>
  </si>
  <si>
    <t>3208.2/221.2</t>
  </si>
  <si>
    <r>
      <t xml:space="preserve">                            F</t>
    </r>
    <r>
      <rPr>
        <vertAlign val="subscript"/>
        <sz val="10.5"/>
        <rFont val="Times New Roman"/>
        <family val="1"/>
      </rPr>
      <t>L</t>
    </r>
  </si>
  <si>
    <r>
      <t>IF(    ＜0.5F</t>
    </r>
    <r>
      <rPr>
        <b/>
        <vertAlign val="subscript"/>
        <sz val="10"/>
        <color indexed="10"/>
        <rFont val="宋体"/>
        <family val="0"/>
      </rPr>
      <t>L</t>
    </r>
    <r>
      <rPr>
        <b/>
        <vertAlign val="superscript"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,Cv="Cv1",否则为Cv="Cv2")</t>
    </r>
  </si>
  <si>
    <t>计算程序使用说明:</t>
  </si>
  <si>
    <t>1.黄色区域需输入已知条件数据.</t>
  </si>
  <si>
    <t>2.粉红区域为阀门系数Cv值的结果.</t>
  </si>
  <si>
    <t>3.Kv=0.85Cv</t>
  </si>
  <si>
    <t>阀门系数Kv值</t>
  </si>
  <si>
    <t>100KPa</t>
  </si>
  <si>
    <r>
      <t>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/h或t/h</t>
    </r>
  </si>
  <si>
    <t>液体比重r</t>
  </si>
  <si>
    <r>
      <t>g/cm</t>
    </r>
    <r>
      <rPr>
        <vertAlign val="superscript"/>
        <sz val="10"/>
        <rFont val="宋体"/>
        <family val="0"/>
      </rPr>
      <t>3</t>
    </r>
  </si>
  <si>
    <t xml:space="preserve">V </t>
  </si>
  <si>
    <t>阀门系数Kv1值</t>
  </si>
  <si>
    <t>阀门系数Kv2值</t>
  </si>
  <si>
    <t>IF(△P＜△Pc,Kv="Kv1",否则为Kv="Kv2")</t>
  </si>
  <si>
    <t>介质名称</t>
  </si>
  <si>
    <t>Pc(100KPa  绝压)</t>
  </si>
  <si>
    <t>醋酸</t>
  </si>
  <si>
    <t>丙酮</t>
  </si>
  <si>
    <t>甲醇</t>
  </si>
  <si>
    <t>空气</t>
  </si>
  <si>
    <t>氧化氯</t>
  </si>
  <si>
    <r>
      <t>流量Q</t>
    </r>
    <r>
      <rPr>
        <b/>
        <vertAlign val="subscript"/>
        <sz val="10"/>
        <color indexed="12"/>
        <rFont val="宋体"/>
        <family val="0"/>
      </rPr>
      <t>N</t>
    </r>
  </si>
  <si>
    <r>
      <t>Nm</t>
    </r>
    <r>
      <rPr>
        <vertAlign val="superscript"/>
        <sz val="10"/>
        <rFont val="宋体"/>
        <family val="0"/>
      </rPr>
      <t>3</t>
    </r>
    <r>
      <rPr>
        <sz val="10"/>
        <rFont val="宋体"/>
        <family val="0"/>
      </rPr>
      <t>/h</t>
    </r>
  </si>
  <si>
    <t>氨</t>
  </si>
  <si>
    <t>辛烷</t>
  </si>
  <si>
    <r>
      <t>气体重度r</t>
    </r>
    <r>
      <rPr>
        <b/>
        <vertAlign val="subscript"/>
        <sz val="10"/>
        <color indexed="12"/>
        <rFont val="宋体"/>
        <family val="0"/>
      </rPr>
      <t>N</t>
    </r>
  </si>
  <si>
    <r>
      <t>kg/Nm</t>
    </r>
    <r>
      <rPr>
        <vertAlign val="superscript"/>
        <sz val="10"/>
        <rFont val="宋体"/>
        <family val="0"/>
      </rPr>
      <t>3</t>
    </r>
  </si>
  <si>
    <t>氟</t>
  </si>
  <si>
    <t>乙醇</t>
  </si>
  <si>
    <t>氯化氢</t>
  </si>
  <si>
    <t>温度t</t>
  </si>
  <si>
    <t>°C</t>
  </si>
  <si>
    <t>二氧化硫</t>
  </si>
  <si>
    <t>二氧化碳</t>
  </si>
  <si>
    <t>一氧化碳</t>
  </si>
  <si>
    <t>戊烷</t>
  </si>
  <si>
    <t xml:space="preserve">                 </t>
  </si>
  <si>
    <r>
      <t>IF(    ＜0.5F</t>
    </r>
    <r>
      <rPr>
        <b/>
        <vertAlign val="subscript"/>
        <sz val="10"/>
        <color indexed="10"/>
        <rFont val="宋体"/>
        <family val="0"/>
      </rPr>
      <t>L</t>
    </r>
    <r>
      <rPr>
        <b/>
        <vertAlign val="superscript"/>
        <sz val="10"/>
        <color indexed="10"/>
        <rFont val="宋体"/>
        <family val="0"/>
      </rPr>
      <t>2</t>
    </r>
    <r>
      <rPr>
        <b/>
        <sz val="10"/>
        <color indexed="10"/>
        <rFont val="宋体"/>
        <family val="0"/>
      </rPr>
      <t>,Kv="Kv1",否则为Kv="Kv2")</t>
    </r>
  </si>
  <si>
    <t>2.粉红区域为阀门系数Kv值的结果.</t>
  </si>
  <si>
    <t>3.Cv=1.176Kv</t>
  </si>
  <si>
    <t>阀门通道直径D</t>
  </si>
  <si>
    <r>
      <t>m</t>
    </r>
    <r>
      <rPr>
        <sz val="12"/>
        <rFont val="宋体"/>
        <family val="0"/>
      </rPr>
      <t>m</t>
    </r>
  </si>
  <si>
    <t>节流截面积A</t>
  </si>
  <si>
    <r>
      <t xml:space="preserve">     D</t>
    </r>
    <r>
      <rPr>
        <vertAlign val="superscript"/>
        <sz val="10"/>
        <rFont val="Times New Roman"/>
        <family val="1"/>
      </rPr>
      <t>2</t>
    </r>
  </si>
  <si>
    <r>
      <t>mm</t>
    </r>
    <r>
      <rPr>
        <vertAlign val="superscript"/>
        <sz val="10.5"/>
        <rFont val="Times New Roman"/>
        <family val="1"/>
      </rPr>
      <t>2</t>
    </r>
  </si>
  <si>
    <t>调节阀阻力系数ξ</t>
  </si>
  <si>
    <t>流体密度ρ</t>
  </si>
  <si>
    <r>
      <t>kg/mm</t>
    </r>
    <r>
      <rPr>
        <vertAlign val="superscript"/>
        <sz val="10.5"/>
        <rFont val="Times New Roman"/>
        <family val="1"/>
      </rPr>
      <t>3</t>
    </r>
  </si>
  <si>
    <t>调节阀进口压力P1</t>
  </si>
  <si>
    <t>MPa</t>
  </si>
  <si>
    <t>调节阀出口压力P2</t>
  </si>
  <si>
    <t>调节阀流量Q</t>
  </si>
  <si>
    <t>Q=</t>
  </si>
  <si>
    <r>
      <t>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/s</t>
    </r>
  </si>
  <si>
    <r>
      <t>m</t>
    </r>
    <r>
      <rPr>
        <vertAlign val="superscript"/>
        <sz val="12"/>
        <rFont val="宋体"/>
        <family val="0"/>
      </rPr>
      <t>3</t>
    </r>
    <r>
      <rPr>
        <sz val="12"/>
        <rFont val="宋体"/>
        <family val="0"/>
      </rPr>
      <t>/h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</si>
</sst>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name val="Times New Roman"/>
      <family val="1"/>
    </font>
    <font>
      <b/>
      <sz val="11"/>
      <name val="宋体"/>
      <family val="0"/>
    </font>
    <font>
      <b/>
      <sz val="10"/>
      <color indexed="12"/>
      <name val="宋体"/>
      <family val="0"/>
    </font>
    <font>
      <b/>
      <sz val="12"/>
      <color indexed="12"/>
      <name val="宋体"/>
      <family val="0"/>
    </font>
    <font>
      <b/>
      <sz val="10"/>
      <color indexed="14"/>
      <name val="宋体"/>
      <family val="0"/>
    </font>
    <font>
      <b/>
      <sz val="12"/>
      <color indexed="14"/>
      <name val="宋体"/>
      <family val="0"/>
    </font>
    <font>
      <b/>
      <sz val="10"/>
      <color indexed="10"/>
      <name val="宋体"/>
      <family val="0"/>
    </font>
    <font>
      <b/>
      <sz val="10"/>
      <name val="Times New Roman"/>
      <family val="1"/>
    </font>
    <font>
      <sz val="12"/>
      <color indexed="45"/>
      <name val="宋体"/>
      <family val="0"/>
    </font>
    <font>
      <b/>
      <sz val="14"/>
      <name val="宋体"/>
      <family val="0"/>
    </font>
    <font>
      <sz val="10"/>
      <color indexed="12"/>
      <name val="宋体"/>
      <family val="0"/>
    </font>
    <font>
      <b/>
      <sz val="12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vertAlign val="superscript"/>
      <sz val="10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12"/>
      <name val="宋体"/>
      <family val="0"/>
    </font>
    <font>
      <b/>
      <vertAlign val="subscript"/>
      <sz val="10"/>
      <color indexed="12"/>
      <name val="宋体"/>
      <family val="0"/>
    </font>
    <font>
      <vertAlign val="superscript"/>
      <sz val="10"/>
      <name val="宋体"/>
      <family val="0"/>
    </font>
    <font>
      <vertAlign val="subscript"/>
      <sz val="10"/>
      <name val="宋体"/>
      <family val="0"/>
    </font>
    <font>
      <b/>
      <vertAlign val="superscript"/>
      <sz val="10"/>
      <color indexed="12"/>
      <name val="宋体"/>
      <family val="0"/>
    </font>
    <font>
      <b/>
      <vertAlign val="subscript"/>
      <sz val="10"/>
      <color indexed="10"/>
      <name val="宋体"/>
      <family val="0"/>
    </font>
    <font>
      <b/>
      <vertAlign val="superscript"/>
      <sz val="10"/>
      <color indexed="10"/>
      <name val="宋体"/>
      <family val="0"/>
    </font>
    <font>
      <vertAlign val="subscript"/>
      <sz val="10.5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  <xf numFmtId="0" fontId="49" fillId="5" borderId="0" applyNumberFormat="0" applyBorder="0" applyAlignment="0" applyProtection="0"/>
    <xf numFmtId="43" fontId="0" fillId="0" borderId="0" applyFont="0" applyFill="0" applyBorder="0" applyAlignment="0" applyProtection="0"/>
    <xf numFmtId="0" fontId="5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0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0" fillId="9" borderId="0" applyNumberFormat="0" applyBorder="0" applyAlignment="0" applyProtection="0"/>
    <xf numFmtId="0" fontId="51" fillId="0" borderId="5" applyNumberFormat="0" applyFill="0" applyAlignment="0" applyProtection="0"/>
    <xf numFmtId="0" fontId="50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47" fillId="13" borderId="0" applyNumberFormat="0" applyBorder="0" applyAlignment="0" applyProtection="0"/>
    <xf numFmtId="0" fontId="50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47" fillId="17" borderId="0" applyNumberFormat="0" applyBorder="0" applyAlignment="0" applyProtection="0"/>
    <xf numFmtId="0" fontId="5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50" fillId="27" borderId="0" applyNumberFormat="0" applyBorder="0" applyAlignment="0" applyProtection="0"/>
    <xf numFmtId="0" fontId="47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47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4" borderId="20" xfId="0" applyFont="1" applyFill="1" applyBorder="1" applyAlignment="1">
      <alignment horizontal="right" vertical="center"/>
    </xf>
    <xf numFmtId="0" fontId="9" fillId="34" borderId="21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left" vertical="center"/>
    </xf>
    <xf numFmtId="0" fontId="14" fillId="34" borderId="23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8" fillId="34" borderId="25" xfId="0" applyFont="1" applyFill="1" applyBorder="1" applyAlignment="1">
      <alignment horizontal="right" vertical="center"/>
    </xf>
    <xf numFmtId="0" fontId="0" fillId="34" borderId="26" xfId="0" applyFill="1" applyBorder="1" applyAlignment="1">
      <alignment vertical="center"/>
    </xf>
    <xf numFmtId="0" fontId="2" fillId="34" borderId="27" xfId="0" applyFont="1" applyFill="1" applyBorder="1" applyAlignment="1">
      <alignment horizontal="left" vertical="center"/>
    </xf>
    <xf numFmtId="0" fontId="0" fillId="34" borderId="28" xfId="0" applyFill="1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6" fillId="0" borderId="14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justify" vertical="center"/>
    </xf>
    <xf numFmtId="0" fontId="16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4" fillId="34" borderId="22" xfId="0" applyFont="1" applyFill="1" applyBorder="1" applyAlignment="1">
      <alignment horizontal="left" vertical="center"/>
    </xf>
    <xf numFmtId="0" fontId="0" fillId="34" borderId="23" xfId="0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readingOrder="2"/>
    </xf>
    <xf numFmtId="49" fontId="4" fillId="0" borderId="1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readingOrder="2"/>
    </xf>
    <xf numFmtId="0" fontId="4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4.wmf" /><Relationship Id="rId6" Type="http://schemas.openxmlformats.org/officeDocument/2006/relationships/image" Target="../media/image5.wmf" /><Relationship Id="rId7" Type="http://schemas.openxmlformats.org/officeDocument/2006/relationships/image" Target="../media/image6.wmf" /><Relationship Id="rId8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wmf" /><Relationship Id="rId3" Type="http://schemas.openxmlformats.org/officeDocument/2006/relationships/image" Target="../media/image4.wmf" /><Relationship Id="rId4" Type="http://schemas.openxmlformats.org/officeDocument/2006/relationships/image" Target="../media/image4.wmf" /><Relationship Id="rId5" Type="http://schemas.openxmlformats.org/officeDocument/2006/relationships/image" Target="../media/image7.wmf" /><Relationship Id="rId6" Type="http://schemas.openxmlformats.org/officeDocument/2006/relationships/image" Target="../media/image8.w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4.wmf" /><Relationship Id="rId2" Type="http://schemas.openxmlformats.org/officeDocument/2006/relationships/image" Target="../media/image15.w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7.wmf" /><Relationship Id="rId6" Type="http://schemas.openxmlformats.org/officeDocument/2006/relationships/image" Target="../media/image8.w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showGridLines="0" tabSelected="1" workbookViewId="0" topLeftCell="A1">
      <selection activeCell="D3" sqref="D3:F3"/>
    </sheetView>
  </sheetViews>
  <sheetFormatPr defaultColWidth="8.75390625" defaultRowHeight="14.25"/>
  <cols>
    <col min="1" max="1" width="26.625" style="0" customWidth="1"/>
    <col min="2" max="2" width="2.25390625" style="61" customWidth="1"/>
    <col min="3" max="3" width="30.125" style="0" customWidth="1"/>
    <col min="4" max="4" width="4.375" style="0" customWidth="1"/>
    <col min="5" max="5" width="4.25390625" style="61" customWidth="1"/>
    <col min="6" max="6" width="8.375" style="0" customWidth="1"/>
    <col min="7" max="7" width="2.50390625" style="0" customWidth="1"/>
    <col min="8" max="8" width="5.00390625" style="0" customWidth="1"/>
    <col min="9" max="9" width="9.375" style="0" customWidth="1"/>
    <col min="10" max="10" width="10.25390625" style="0" customWidth="1"/>
  </cols>
  <sheetData>
    <row r="1" spans="1:6" ht="18.75">
      <c r="A1" s="62" t="s">
        <v>0</v>
      </c>
      <c r="B1" s="62"/>
      <c r="C1" s="62"/>
      <c r="D1" s="62"/>
      <c r="E1" s="62"/>
      <c r="F1" s="62"/>
    </row>
    <row r="2" spans="1:16" ht="15">
      <c r="A2" s="9" t="s">
        <v>1</v>
      </c>
      <c r="B2" s="10"/>
      <c r="C2" s="10"/>
      <c r="D2" s="10"/>
      <c r="E2" s="10"/>
      <c r="F2" s="10"/>
      <c r="I2" s="93" t="s">
        <v>2</v>
      </c>
      <c r="J2" s="93"/>
      <c r="K2" s="11"/>
      <c r="L2" s="11"/>
      <c r="M2" s="11"/>
      <c r="N2" s="11"/>
      <c r="O2" s="11"/>
      <c r="P2" s="11"/>
    </row>
    <row r="3" spans="1:16" ht="19.5" customHeight="1">
      <c r="A3" s="12" t="s">
        <v>3</v>
      </c>
      <c r="B3" s="13" t="s">
        <v>4</v>
      </c>
      <c r="C3" s="14">
        <v>0.55</v>
      </c>
      <c r="D3" s="15" t="s">
        <v>5</v>
      </c>
      <c r="E3" s="16"/>
      <c r="F3" s="17"/>
      <c r="I3" s="94" t="s">
        <v>6</v>
      </c>
      <c r="J3" s="95"/>
      <c r="K3" s="95" t="s">
        <v>7</v>
      </c>
      <c r="L3" s="96" t="s">
        <v>8</v>
      </c>
      <c r="M3" s="11"/>
      <c r="N3" s="11"/>
      <c r="O3" s="11"/>
      <c r="P3" s="11"/>
    </row>
    <row r="4" spans="1:16" ht="15" customHeight="1">
      <c r="A4" s="18" t="s">
        <v>9</v>
      </c>
      <c r="B4" s="19" t="s">
        <v>4</v>
      </c>
      <c r="C4" s="20">
        <v>3208.2</v>
      </c>
      <c r="D4" s="21" t="s">
        <v>10</v>
      </c>
      <c r="E4" s="22" t="s">
        <v>11</v>
      </c>
      <c r="F4" s="23"/>
      <c r="I4" s="97" t="s">
        <v>12</v>
      </c>
      <c r="J4" s="71" t="s">
        <v>13</v>
      </c>
      <c r="K4" s="71" t="s">
        <v>14</v>
      </c>
      <c r="L4" s="98" t="s">
        <v>15</v>
      </c>
      <c r="M4" s="11"/>
      <c r="N4" s="11"/>
      <c r="O4" s="11"/>
      <c r="P4" s="11"/>
    </row>
    <row r="5" spans="1:16" ht="15" customHeight="1">
      <c r="A5" s="18" t="s">
        <v>16</v>
      </c>
      <c r="B5" s="19" t="s">
        <v>4</v>
      </c>
      <c r="C5" s="20">
        <v>850</v>
      </c>
      <c r="D5" s="24" t="s">
        <v>17</v>
      </c>
      <c r="E5" s="25"/>
      <c r="F5" s="26"/>
      <c r="I5" s="99"/>
      <c r="J5" s="71"/>
      <c r="K5" s="71" t="s">
        <v>18</v>
      </c>
      <c r="L5" s="100" t="s">
        <v>19</v>
      </c>
      <c r="M5" s="11"/>
      <c r="N5" s="11"/>
      <c r="O5" s="11"/>
      <c r="P5" s="11"/>
    </row>
    <row r="6" spans="1:16" ht="15" customHeight="1">
      <c r="A6" s="18" t="s">
        <v>20</v>
      </c>
      <c r="B6" s="19" t="s">
        <v>4</v>
      </c>
      <c r="C6" s="20">
        <v>1</v>
      </c>
      <c r="D6" s="24"/>
      <c r="E6" s="25"/>
      <c r="F6" s="26"/>
      <c r="I6" s="99"/>
      <c r="J6" s="71" t="s">
        <v>21</v>
      </c>
      <c r="K6" s="71" t="s">
        <v>22</v>
      </c>
      <c r="L6" s="100" t="s">
        <v>15</v>
      </c>
      <c r="M6" s="11"/>
      <c r="N6" s="11"/>
      <c r="O6" s="11"/>
      <c r="P6" s="11"/>
    </row>
    <row r="7" spans="1:16" ht="15" customHeight="1">
      <c r="A7" s="18" t="s">
        <v>23</v>
      </c>
      <c r="B7" s="19" t="s">
        <v>4</v>
      </c>
      <c r="C7" s="20">
        <v>45.6</v>
      </c>
      <c r="D7" s="24" t="s">
        <v>10</v>
      </c>
      <c r="E7" s="25"/>
      <c r="F7" s="26"/>
      <c r="I7" s="99"/>
      <c r="J7" s="71" t="s">
        <v>24</v>
      </c>
      <c r="K7" s="71" t="s">
        <v>14</v>
      </c>
      <c r="L7" s="100" t="s">
        <v>15</v>
      </c>
      <c r="M7" s="11"/>
      <c r="N7" s="11"/>
      <c r="O7" s="11"/>
      <c r="P7" s="11"/>
    </row>
    <row r="8" spans="1:16" ht="14.25">
      <c r="A8" s="18" t="s">
        <v>25</v>
      </c>
      <c r="B8" s="19" t="s">
        <v>4</v>
      </c>
      <c r="C8" s="20">
        <v>284.3</v>
      </c>
      <c r="D8" s="24" t="s">
        <v>10</v>
      </c>
      <c r="E8" s="25"/>
      <c r="F8" s="26"/>
      <c r="I8" s="101"/>
      <c r="J8" s="71"/>
      <c r="K8" s="71" t="s">
        <v>18</v>
      </c>
      <c r="L8" s="100" t="s">
        <v>19</v>
      </c>
      <c r="M8" s="11"/>
      <c r="N8" s="11"/>
      <c r="O8" s="11"/>
      <c r="P8" s="11"/>
    </row>
    <row r="9" spans="1:16" ht="15" customHeight="1">
      <c r="A9" s="18" t="s">
        <v>26</v>
      </c>
      <c r="B9" s="19" t="s">
        <v>4</v>
      </c>
      <c r="C9" s="20">
        <v>0</v>
      </c>
      <c r="D9" s="24" t="s">
        <v>10</v>
      </c>
      <c r="E9" s="25"/>
      <c r="F9" s="26"/>
      <c r="I9" s="102" t="s">
        <v>27</v>
      </c>
      <c r="J9" s="71" t="s">
        <v>13</v>
      </c>
      <c r="K9" s="71" t="s">
        <v>22</v>
      </c>
      <c r="L9" s="100">
        <v>0.85</v>
      </c>
      <c r="M9" s="11"/>
      <c r="N9" s="11"/>
      <c r="O9" s="11"/>
      <c r="P9" s="11"/>
    </row>
    <row r="10" spans="1:16" ht="15" customHeight="1">
      <c r="A10" s="27" t="s">
        <v>28</v>
      </c>
      <c r="B10" s="28" t="s">
        <v>4</v>
      </c>
      <c r="C10" s="29" t="s">
        <v>29</v>
      </c>
      <c r="D10" s="30" t="s">
        <v>4</v>
      </c>
      <c r="E10" s="37">
        <f>(C8-C9)</f>
        <v>284.3</v>
      </c>
      <c r="F10" s="31" t="s">
        <v>10</v>
      </c>
      <c r="I10" s="102"/>
      <c r="J10" s="71" t="s">
        <v>21</v>
      </c>
      <c r="K10" s="71" t="s">
        <v>22</v>
      </c>
      <c r="L10" s="100" t="s">
        <v>15</v>
      </c>
      <c r="M10" s="11"/>
      <c r="N10" s="11"/>
      <c r="O10" s="11"/>
      <c r="P10" s="11"/>
    </row>
    <row r="11" spans="1:16" ht="15" customHeight="1">
      <c r="A11" s="18" t="s">
        <v>30</v>
      </c>
      <c r="B11" s="19" t="s">
        <v>4</v>
      </c>
      <c r="C11" s="32" t="s">
        <v>31</v>
      </c>
      <c r="D11" s="33" t="s">
        <v>4</v>
      </c>
      <c r="E11" s="21">
        <f>C3*C3*(C8-C7)</f>
        <v>72.20675000000001</v>
      </c>
      <c r="F11" s="34" t="s">
        <v>10</v>
      </c>
      <c r="I11" s="102" t="s">
        <v>32</v>
      </c>
      <c r="J11" s="71" t="s">
        <v>13</v>
      </c>
      <c r="K11" s="71" t="s">
        <v>14</v>
      </c>
      <c r="L11" s="100" t="s">
        <v>19</v>
      </c>
      <c r="M11" s="11"/>
      <c r="N11" s="11"/>
      <c r="O11" s="11"/>
      <c r="P11" s="11"/>
    </row>
    <row r="12" spans="1:16" ht="39" customHeight="1">
      <c r="A12" s="18" t="s">
        <v>33</v>
      </c>
      <c r="B12" s="19" t="s">
        <v>4</v>
      </c>
      <c r="C12" s="32" t="s">
        <v>34</v>
      </c>
      <c r="D12" s="33" t="s">
        <v>4</v>
      </c>
      <c r="E12" s="21">
        <f>C3*C3*(C8-(0.96-0.28*SQRT(C8/C4))*C7)</f>
        <v>73.90826674387316</v>
      </c>
      <c r="F12" s="34" t="s">
        <v>10</v>
      </c>
      <c r="I12" s="102"/>
      <c r="J12" s="71"/>
      <c r="K12" s="71" t="s">
        <v>18</v>
      </c>
      <c r="L12" s="100" t="s">
        <v>15</v>
      </c>
      <c r="M12" s="11"/>
      <c r="N12" s="11"/>
      <c r="O12" s="11"/>
      <c r="P12" s="11"/>
    </row>
    <row r="13" spans="1:16" ht="14.25">
      <c r="A13" s="18" t="s">
        <v>35</v>
      </c>
      <c r="B13" s="19"/>
      <c r="C13" s="35" t="s">
        <v>36</v>
      </c>
      <c r="D13" s="36"/>
      <c r="E13" s="25"/>
      <c r="F13" s="26"/>
      <c r="I13" s="102"/>
      <c r="J13" s="71" t="s">
        <v>24</v>
      </c>
      <c r="K13" s="71" t="s">
        <v>14</v>
      </c>
      <c r="L13" s="100">
        <v>0.85</v>
      </c>
      <c r="M13" s="11"/>
      <c r="N13" s="11"/>
      <c r="O13" s="11"/>
      <c r="P13" s="11"/>
    </row>
    <row r="14" spans="1:16" ht="14.25">
      <c r="A14" s="27" t="s">
        <v>37</v>
      </c>
      <c r="B14" s="28" t="s">
        <v>4</v>
      </c>
      <c r="C14" s="37">
        <f>IF(C7&lt;C8/2,E11,E12)</f>
        <v>72.20675000000001</v>
      </c>
      <c r="D14" s="38" t="s">
        <v>10</v>
      </c>
      <c r="E14" s="39"/>
      <c r="F14" s="40"/>
      <c r="I14" s="102"/>
      <c r="J14" s="71"/>
      <c r="K14" s="71" t="s">
        <v>18</v>
      </c>
      <c r="L14" s="100" t="s">
        <v>19</v>
      </c>
      <c r="M14" s="11"/>
      <c r="N14" s="11"/>
      <c r="O14" s="11"/>
      <c r="P14" s="11"/>
    </row>
    <row r="15" spans="1:16" ht="14.25">
      <c r="A15" s="18" t="s">
        <v>38</v>
      </c>
      <c r="B15" s="19"/>
      <c r="C15" s="35" t="s">
        <v>39</v>
      </c>
      <c r="D15" s="36"/>
      <c r="E15" s="25"/>
      <c r="F15" s="26"/>
      <c r="I15" s="102"/>
      <c r="J15" s="71" t="s">
        <v>40</v>
      </c>
      <c r="K15" s="71" t="s">
        <v>18</v>
      </c>
      <c r="L15" s="100" t="s">
        <v>41</v>
      </c>
      <c r="M15" s="11"/>
      <c r="N15" s="11"/>
      <c r="O15" s="11"/>
      <c r="P15" s="11"/>
    </row>
    <row r="16" spans="1:16" ht="14.25">
      <c r="A16" s="18" t="s">
        <v>42</v>
      </c>
      <c r="B16" s="18"/>
      <c r="C16" s="41">
        <f>IF(E10&lt;C14,1,2)</f>
        <v>2</v>
      </c>
      <c r="D16" s="42"/>
      <c r="E16" s="42"/>
      <c r="F16" s="43"/>
      <c r="I16" s="103" t="s">
        <v>43</v>
      </c>
      <c r="J16" s="71" t="s">
        <v>44</v>
      </c>
      <c r="K16" s="71" t="s">
        <v>22</v>
      </c>
      <c r="L16" s="100">
        <v>0.55</v>
      </c>
      <c r="M16" s="11"/>
      <c r="N16" s="11"/>
      <c r="O16" s="11"/>
      <c r="P16" s="11"/>
    </row>
    <row r="17" spans="1:16" ht="14.25">
      <c r="A17" s="18" t="s">
        <v>45</v>
      </c>
      <c r="B17" s="19" t="s">
        <v>4</v>
      </c>
      <c r="C17" s="44" t="s">
        <v>46</v>
      </c>
      <c r="D17" s="33" t="s">
        <v>4</v>
      </c>
      <c r="E17" s="21">
        <f>C5*SQRT(C6/E10)</f>
        <v>50.41160165505624</v>
      </c>
      <c r="F17" s="45" t="s">
        <v>47</v>
      </c>
      <c r="I17" s="103" t="s">
        <v>48</v>
      </c>
      <c r="J17" s="71" t="s">
        <v>49</v>
      </c>
      <c r="K17" s="71" t="s">
        <v>22</v>
      </c>
      <c r="L17" s="100">
        <v>0.68</v>
      </c>
      <c r="M17" s="11"/>
      <c r="N17" s="11"/>
      <c r="O17" s="11"/>
      <c r="P17" s="11"/>
    </row>
    <row r="18" spans="1:16" ht="24" customHeight="1">
      <c r="A18" s="18"/>
      <c r="B18" s="19"/>
      <c r="C18" s="44"/>
      <c r="D18" s="33"/>
      <c r="E18" s="21"/>
      <c r="F18" s="45"/>
      <c r="I18" s="104"/>
      <c r="J18" s="71" t="s">
        <v>50</v>
      </c>
      <c r="K18" s="71" t="s">
        <v>22</v>
      </c>
      <c r="L18" s="100">
        <v>0.55</v>
      </c>
      <c r="M18" s="11"/>
      <c r="N18" s="11"/>
      <c r="O18" s="11"/>
      <c r="P18" s="11"/>
    </row>
    <row r="19" spans="1:16" ht="15">
      <c r="A19" s="18" t="s">
        <v>51</v>
      </c>
      <c r="B19" s="19" t="s">
        <v>4</v>
      </c>
      <c r="C19" s="46" t="s">
        <v>46</v>
      </c>
      <c r="D19" s="33" t="s">
        <v>4</v>
      </c>
      <c r="E19" s="21">
        <f>C5*SQRT(C6/C14)</f>
        <v>100.02994424034274</v>
      </c>
      <c r="F19" s="45" t="s">
        <v>52</v>
      </c>
      <c r="I19" s="105" t="s">
        <v>53</v>
      </c>
      <c r="J19" s="106"/>
      <c r="K19" s="107" t="s">
        <v>14</v>
      </c>
      <c r="L19" s="108">
        <v>0.85</v>
      </c>
      <c r="M19" s="11"/>
      <c r="N19" s="11"/>
      <c r="O19" s="11"/>
      <c r="P19" s="11"/>
    </row>
    <row r="20" spans="1:16" ht="28.5" customHeight="1">
      <c r="A20" s="18"/>
      <c r="B20" s="19"/>
      <c r="C20" s="44"/>
      <c r="D20" s="33"/>
      <c r="E20" s="21"/>
      <c r="F20" s="45"/>
      <c r="M20" s="11"/>
      <c r="N20" s="11"/>
      <c r="O20" s="11"/>
      <c r="P20" s="11"/>
    </row>
    <row r="21" spans="1:16" ht="16.5" customHeight="1">
      <c r="A21" s="47" t="s">
        <v>54</v>
      </c>
      <c r="B21" s="48"/>
      <c r="C21" s="48"/>
      <c r="D21" s="48"/>
      <c r="E21" s="48"/>
      <c r="F21" s="49"/>
      <c r="I21" s="93" t="s">
        <v>55</v>
      </c>
      <c r="O21" s="11"/>
      <c r="P21" s="11"/>
    </row>
    <row r="22" spans="1:16" ht="15">
      <c r="A22" s="50" t="s">
        <v>0</v>
      </c>
      <c r="B22" s="51" t="s">
        <v>4</v>
      </c>
      <c r="C22" s="52">
        <f>IF(E10&lt;C14,E17,E19)</f>
        <v>100.02994424034274</v>
      </c>
      <c r="D22" s="53"/>
      <c r="E22" s="53"/>
      <c r="F22" s="54"/>
      <c r="I22" s="94" t="s">
        <v>56</v>
      </c>
      <c r="J22" s="117" t="s">
        <v>57</v>
      </c>
      <c r="K22" s="118"/>
      <c r="L22" s="110" t="s">
        <v>56</v>
      </c>
      <c r="M22" s="117" t="s">
        <v>57</v>
      </c>
      <c r="N22" s="119"/>
      <c r="O22" s="11"/>
      <c r="P22" s="11"/>
    </row>
    <row r="23" spans="2:14" ht="14.25">
      <c r="B23"/>
      <c r="I23" s="111" t="s">
        <v>58</v>
      </c>
      <c r="J23" s="71" t="s">
        <v>59</v>
      </c>
      <c r="K23" s="80"/>
      <c r="L23" s="112" t="s">
        <v>60</v>
      </c>
      <c r="M23" s="71" t="s">
        <v>61</v>
      </c>
      <c r="N23" s="67"/>
    </row>
    <row r="24" spans="2:14" ht="14.25">
      <c r="B24"/>
      <c r="I24" s="111" t="s">
        <v>62</v>
      </c>
      <c r="J24" s="71" t="s">
        <v>63</v>
      </c>
      <c r="K24" s="80"/>
      <c r="L24" s="112" t="s">
        <v>64</v>
      </c>
      <c r="M24" s="71" t="s">
        <v>61</v>
      </c>
      <c r="N24" s="67"/>
    </row>
    <row r="25" spans="1:14" ht="15">
      <c r="A25" s="9" t="s">
        <v>65</v>
      </c>
      <c r="B25" s="10"/>
      <c r="C25" s="10"/>
      <c r="D25" s="10"/>
      <c r="E25" s="10"/>
      <c r="F25" s="10"/>
      <c r="I25" s="111" t="s">
        <v>66</v>
      </c>
      <c r="J25" s="71" t="s">
        <v>67</v>
      </c>
      <c r="K25" s="80"/>
      <c r="L25" s="112" t="s">
        <v>68</v>
      </c>
      <c r="M25" s="71" t="s">
        <v>69</v>
      </c>
      <c r="N25" s="67"/>
    </row>
    <row r="26" spans="1:14" ht="14.25">
      <c r="A26" s="12" t="s">
        <v>3</v>
      </c>
      <c r="B26" s="13" t="s">
        <v>4</v>
      </c>
      <c r="C26" s="63">
        <v>0.9</v>
      </c>
      <c r="D26" s="15" t="s">
        <v>5</v>
      </c>
      <c r="E26" s="16"/>
      <c r="F26" s="17"/>
      <c r="I26" s="111" t="s">
        <v>70</v>
      </c>
      <c r="J26" s="71" t="s">
        <v>71</v>
      </c>
      <c r="K26" s="80"/>
      <c r="L26" s="112" t="s">
        <v>72</v>
      </c>
      <c r="M26" s="71" t="s">
        <v>73</v>
      </c>
      <c r="N26" s="67"/>
    </row>
    <row r="27" spans="1:14" ht="14.25">
      <c r="A27" s="18" t="s">
        <v>16</v>
      </c>
      <c r="B27" s="19" t="s">
        <v>4</v>
      </c>
      <c r="C27" s="64">
        <v>325884</v>
      </c>
      <c r="D27" s="21" t="s">
        <v>74</v>
      </c>
      <c r="E27" s="44"/>
      <c r="F27" s="65"/>
      <c r="I27" s="111" t="s">
        <v>75</v>
      </c>
      <c r="J27" s="71" t="s">
        <v>76</v>
      </c>
      <c r="K27" s="80"/>
      <c r="L27" s="112" t="s">
        <v>77</v>
      </c>
      <c r="M27" s="71" t="s">
        <v>78</v>
      </c>
      <c r="N27" s="67"/>
    </row>
    <row r="28" spans="1:14" ht="14.25">
      <c r="A28" s="18" t="s">
        <v>79</v>
      </c>
      <c r="B28" s="19" t="s">
        <v>4</v>
      </c>
      <c r="C28" s="64">
        <v>1</v>
      </c>
      <c r="D28" s="44"/>
      <c r="E28" s="66"/>
      <c r="F28" s="67"/>
      <c r="I28" s="111" t="s">
        <v>80</v>
      </c>
      <c r="J28" s="71" t="s">
        <v>81</v>
      </c>
      <c r="K28" s="80"/>
      <c r="L28" s="112" t="s">
        <v>82</v>
      </c>
      <c r="M28" s="71" t="s">
        <v>83</v>
      </c>
      <c r="N28" s="67"/>
    </row>
    <row r="29" spans="1:14" ht="14.25">
      <c r="A29" s="18" t="s">
        <v>25</v>
      </c>
      <c r="B29" s="19" t="s">
        <v>4</v>
      </c>
      <c r="C29" s="64">
        <v>101.5</v>
      </c>
      <c r="D29" s="21" t="s">
        <v>10</v>
      </c>
      <c r="E29" s="44"/>
      <c r="F29" s="65"/>
      <c r="I29" s="111" t="s">
        <v>84</v>
      </c>
      <c r="J29" s="71" t="s">
        <v>85</v>
      </c>
      <c r="K29" s="80"/>
      <c r="L29" s="112" t="s">
        <v>86</v>
      </c>
      <c r="M29" s="71" t="s">
        <v>87</v>
      </c>
      <c r="N29" s="67"/>
    </row>
    <row r="30" spans="1:14" ht="14.25">
      <c r="A30" s="18" t="s">
        <v>26</v>
      </c>
      <c r="B30" s="19" t="s">
        <v>4</v>
      </c>
      <c r="C30" s="64">
        <v>72</v>
      </c>
      <c r="D30" s="21" t="s">
        <v>10</v>
      </c>
      <c r="E30" s="44"/>
      <c r="F30" s="65"/>
      <c r="I30" s="111" t="s">
        <v>88</v>
      </c>
      <c r="J30" s="71" t="s">
        <v>89</v>
      </c>
      <c r="K30" s="80"/>
      <c r="L30" s="112" t="s">
        <v>90</v>
      </c>
      <c r="M30" s="71" t="s">
        <v>91</v>
      </c>
      <c r="N30" s="67"/>
    </row>
    <row r="31" spans="1:14" ht="14.25">
      <c r="A31" s="27" t="s">
        <v>28</v>
      </c>
      <c r="B31" s="28" t="s">
        <v>4</v>
      </c>
      <c r="C31" s="68" t="s">
        <v>29</v>
      </c>
      <c r="D31" s="30" t="s">
        <v>4</v>
      </c>
      <c r="E31" s="37">
        <f>C29-C30</f>
        <v>29.5</v>
      </c>
      <c r="F31" s="31" t="s">
        <v>10</v>
      </c>
      <c r="I31" s="111" t="s">
        <v>92</v>
      </c>
      <c r="J31" s="71" t="s">
        <v>93</v>
      </c>
      <c r="K31" s="80"/>
      <c r="L31" s="112" t="s">
        <v>94</v>
      </c>
      <c r="M31" s="71" t="s">
        <v>95</v>
      </c>
      <c r="N31" s="67"/>
    </row>
    <row r="32" spans="1:14" ht="14.25">
      <c r="A32" s="18" t="s">
        <v>96</v>
      </c>
      <c r="B32" s="22" t="s">
        <v>4</v>
      </c>
      <c r="C32" s="64">
        <v>86</v>
      </c>
      <c r="D32" s="32" t="s">
        <v>97</v>
      </c>
      <c r="E32" s="69"/>
      <c r="F32" s="26"/>
      <c r="I32" s="111" t="s">
        <v>98</v>
      </c>
      <c r="J32" s="71" t="s">
        <v>99</v>
      </c>
      <c r="K32" s="80"/>
      <c r="L32" s="112" t="s">
        <v>100</v>
      </c>
      <c r="M32" s="71" t="s">
        <v>101</v>
      </c>
      <c r="N32" s="67"/>
    </row>
    <row r="33" spans="1:14" ht="14.25">
      <c r="A33" s="18" t="s">
        <v>102</v>
      </c>
      <c r="B33" s="22" t="s">
        <v>4</v>
      </c>
      <c r="C33" s="116">
        <f>C32+460</f>
        <v>546</v>
      </c>
      <c r="D33" s="32" t="s">
        <v>97</v>
      </c>
      <c r="E33" s="69"/>
      <c r="F33" s="26"/>
      <c r="I33" s="111" t="s">
        <v>103</v>
      </c>
      <c r="J33" s="71" t="s">
        <v>104</v>
      </c>
      <c r="K33" s="80"/>
      <c r="L33" s="112" t="s">
        <v>105</v>
      </c>
      <c r="M33" s="71" t="s">
        <v>106</v>
      </c>
      <c r="N33" s="67"/>
    </row>
    <row r="34" spans="1:14" ht="15.75" customHeight="1">
      <c r="A34" s="70" t="s">
        <v>107</v>
      </c>
      <c r="B34" s="71"/>
      <c r="C34" s="33" t="s">
        <v>108</v>
      </c>
      <c r="D34" s="72"/>
      <c r="E34" s="72"/>
      <c r="F34" s="73"/>
      <c r="I34" s="111" t="s">
        <v>109</v>
      </c>
      <c r="J34" s="71" t="s">
        <v>110</v>
      </c>
      <c r="K34" s="80"/>
      <c r="L34" s="112" t="s">
        <v>111</v>
      </c>
      <c r="M34" s="71" t="s">
        <v>112</v>
      </c>
      <c r="N34" s="67"/>
    </row>
    <row r="35" spans="1:14" ht="14.25">
      <c r="A35" s="74"/>
      <c r="B35" s="75"/>
      <c r="C35" s="66"/>
      <c r="D35" s="66"/>
      <c r="E35" s="66"/>
      <c r="F35" s="67"/>
      <c r="I35" s="111" t="s">
        <v>113</v>
      </c>
      <c r="J35" s="71" t="s">
        <v>114</v>
      </c>
      <c r="K35" s="80"/>
      <c r="L35" s="112" t="s">
        <v>115</v>
      </c>
      <c r="M35" s="71" t="s">
        <v>116</v>
      </c>
      <c r="N35" s="67"/>
    </row>
    <row r="36" spans="1:14" ht="13.5" customHeight="1">
      <c r="A36" s="74"/>
      <c r="B36" s="75"/>
      <c r="C36" s="66"/>
      <c r="D36" s="66"/>
      <c r="E36" s="66"/>
      <c r="F36" s="67"/>
      <c r="I36" s="111" t="s">
        <v>117</v>
      </c>
      <c r="J36" s="71" t="s">
        <v>118</v>
      </c>
      <c r="K36" s="80"/>
      <c r="L36" s="112" t="s">
        <v>119</v>
      </c>
      <c r="M36" s="71" t="s">
        <v>120</v>
      </c>
      <c r="N36" s="67"/>
    </row>
    <row r="37" spans="1:14" ht="15">
      <c r="A37" s="18" t="s">
        <v>42</v>
      </c>
      <c r="B37" s="71"/>
      <c r="C37" s="76">
        <f>IF(E31/C29&lt;0.5*C26*C26,1,2)</f>
        <v>1</v>
      </c>
      <c r="D37" s="66"/>
      <c r="E37" s="66"/>
      <c r="F37" s="67"/>
      <c r="I37" s="113" t="s">
        <v>121</v>
      </c>
      <c r="J37" s="107" t="s">
        <v>122</v>
      </c>
      <c r="K37" s="120"/>
      <c r="L37" s="115" t="s">
        <v>123</v>
      </c>
      <c r="M37" s="107" t="s">
        <v>124</v>
      </c>
      <c r="N37" s="121"/>
    </row>
    <row r="38" spans="1:6" ht="14.25">
      <c r="A38" s="18" t="s">
        <v>45</v>
      </c>
      <c r="B38" s="22" t="s">
        <v>4</v>
      </c>
      <c r="C38" s="77"/>
      <c r="D38" s="19" t="s">
        <v>4</v>
      </c>
      <c r="E38" s="78">
        <f>C27/1360*SQRT(C28*C33/E31)*SQRT(2/(C29+C30))</f>
        <v>110.6814147145326</v>
      </c>
      <c r="F38" s="45" t="s">
        <v>47</v>
      </c>
    </row>
    <row r="39" spans="1:6" ht="14.25">
      <c r="A39" s="74"/>
      <c r="B39" s="75"/>
      <c r="C39" s="66"/>
      <c r="D39" s="66"/>
      <c r="E39" s="80"/>
      <c r="F39" s="45"/>
    </row>
    <row r="40" spans="1:6" ht="14.25">
      <c r="A40" s="74"/>
      <c r="B40" s="75"/>
      <c r="C40" s="66"/>
      <c r="D40" s="66"/>
      <c r="E40" s="80"/>
      <c r="F40" s="45"/>
    </row>
    <row r="41" spans="1:6" ht="14.25">
      <c r="A41" s="18" t="s">
        <v>51</v>
      </c>
      <c r="B41" s="22" t="s">
        <v>4</v>
      </c>
      <c r="C41" s="81" t="s">
        <v>125</v>
      </c>
      <c r="D41" s="19" t="s">
        <v>4</v>
      </c>
      <c r="E41" s="78">
        <f>C27/1178*SQRT(2*C28*C33)/C29*C26</f>
        <v>81.0598011930686</v>
      </c>
      <c r="F41" s="45" t="s">
        <v>52</v>
      </c>
    </row>
    <row r="42" spans="1:14" ht="14.25">
      <c r="A42" s="18"/>
      <c r="B42" s="75"/>
      <c r="C42" s="66"/>
      <c r="D42" s="66"/>
      <c r="E42" s="80"/>
      <c r="F42" s="45"/>
      <c r="I42" s="11"/>
      <c r="J42" s="11"/>
      <c r="K42" s="11"/>
      <c r="L42" s="11"/>
      <c r="M42" s="11"/>
      <c r="N42" s="11"/>
    </row>
    <row r="43" spans="1:11" ht="14.25">
      <c r="A43" s="18"/>
      <c r="B43" s="75"/>
      <c r="C43" s="66"/>
      <c r="D43" s="66"/>
      <c r="E43" s="80"/>
      <c r="F43" s="45"/>
      <c r="K43" s="122"/>
    </row>
    <row r="44" spans="1:6" ht="14.25">
      <c r="A44" s="82" t="s">
        <v>126</v>
      </c>
      <c r="B44" s="83"/>
      <c r="C44" s="83"/>
      <c r="D44" s="83"/>
      <c r="E44" s="83"/>
      <c r="F44" s="84"/>
    </row>
    <row r="45" spans="1:6" ht="14.25">
      <c r="A45" s="85"/>
      <c r="B45" s="86"/>
      <c r="C45" s="86"/>
      <c r="D45" s="86"/>
      <c r="E45" s="86"/>
      <c r="F45" s="87"/>
    </row>
    <row r="46" spans="1:6" ht="15">
      <c r="A46" s="50" t="s">
        <v>0</v>
      </c>
      <c r="B46" s="51" t="s">
        <v>4</v>
      </c>
      <c r="C46" s="88">
        <f>IF((E31/C29)&lt;(0.5*C26*C26),E38,E41)</f>
        <v>110.6814147145326</v>
      </c>
      <c r="D46" s="89"/>
      <c r="E46" s="90"/>
      <c r="F46" s="91"/>
    </row>
    <row r="47" spans="2:5" ht="14.25">
      <c r="B47"/>
      <c r="E47"/>
    </row>
    <row r="48" spans="1:5" ht="14.25">
      <c r="A48" s="92" t="s">
        <v>127</v>
      </c>
      <c r="B48"/>
      <c r="E48"/>
    </row>
    <row r="49" spans="1:5" ht="14.25">
      <c r="A49" s="11" t="s">
        <v>128</v>
      </c>
      <c r="B49"/>
      <c r="E49"/>
    </row>
    <row r="50" spans="1:5" ht="14.25">
      <c r="A50" s="11" t="s">
        <v>129</v>
      </c>
      <c r="B50"/>
      <c r="E50"/>
    </row>
    <row r="51" spans="1:5" ht="14.25">
      <c r="A51" s="11" t="s">
        <v>130</v>
      </c>
      <c r="B51"/>
      <c r="E51"/>
    </row>
  </sheetData>
  <sheetProtection/>
  <mergeCells count="91">
    <mergeCell ref="A1:F1"/>
    <mergeCell ref="A2:F2"/>
    <mergeCell ref="D3:F3"/>
    <mergeCell ref="I3:J3"/>
    <mergeCell ref="E4:F4"/>
    <mergeCell ref="D5:F5"/>
    <mergeCell ref="D6:F6"/>
    <mergeCell ref="D7:F7"/>
    <mergeCell ref="D8:F8"/>
    <mergeCell ref="D9:F9"/>
    <mergeCell ref="C13:F13"/>
    <mergeCell ref="D14:F14"/>
    <mergeCell ref="C15:F15"/>
    <mergeCell ref="C16:F16"/>
    <mergeCell ref="I19:J19"/>
    <mergeCell ref="A21:F21"/>
    <mergeCell ref="J22:K22"/>
    <mergeCell ref="M22:N22"/>
    <mergeCell ref="J23:K23"/>
    <mergeCell ref="M23:N23"/>
    <mergeCell ref="J24:K24"/>
    <mergeCell ref="M24:N24"/>
    <mergeCell ref="A25:F25"/>
    <mergeCell ref="J25:K25"/>
    <mergeCell ref="M25:N25"/>
    <mergeCell ref="D26:F26"/>
    <mergeCell ref="J26:K26"/>
    <mergeCell ref="M26:N26"/>
    <mergeCell ref="D27:F27"/>
    <mergeCell ref="J27:K27"/>
    <mergeCell ref="M27:N27"/>
    <mergeCell ref="D28:F28"/>
    <mergeCell ref="J28:K28"/>
    <mergeCell ref="M28:N28"/>
    <mergeCell ref="D29:F29"/>
    <mergeCell ref="J29:K29"/>
    <mergeCell ref="M29:N29"/>
    <mergeCell ref="D30:F30"/>
    <mergeCell ref="J30:K30"/>
    <mergeCell ref="M30:N30"/>
    <mergeCell ref="J31:K31"/>
    <mergeCell ref="M31:N31"/>
    <mergeCell ref="J32:K32"/>
    <mergeCell ref="M32:N32"/>
    <mergeCell ref="J33:K33"/>
    <mergeCell ref="M33:N33"/>
    <mergeCell ref="J34:K34"/>
    <mergeCell ref="M34:N34"/>
    <mergeCell ref="J35:K35"/>
    <mergeCell ref="M35:N35"/>
    <mergeCell ref="J36:K36"/>
    <mergeCell ref="M36:N36"/>
    <mergeCell ref="C37:F37"/>
    <mergeCell ref="J37:K37"/>
    <mergeCell ref="M37:N37"/>
    <mergeCell ref="A17:A18"/>
    <mergeCell ref="A19:A20"/>
    <mergeCell ref="A34:A36"/>
    <mergeCell ref="A38:A40"/>
    <mergeCell ref="A41:A43"/>
    <mergeCell ref="B17:B18"/>
    <mergeCell ref="B19:B20"/>
    <mergeCell ref="B34:B36"/>
    <mergeCell ref="B38:B40"/>
    <mergeCell ref="B41:B43"/>
    <mergeCell ref="C17:C18"/>
    <mergeCell ref="C19:C20"/>
    <mergeCell ref="C38:C40"/>
    <mergeCell ref="C41:C43"/>
    <mergeCell ref="D17:D18"/>
    <mergeCell ref="D19:D20"/>
    <mergeCell ref="D38:D40"/>
    <mergeCell ref="D41:D43"/>
    <mergeCell ref="E17:E18"/>
    <mergeCell ref="E19:E20"/>
    <mergeCell ref="E38:E40"/>
    <mergeCell ref="E41:E43"/>
    <mergeCell ref="F17:F18"/>
    <mergeCell ref="F19:F20"/>
    <mergeCell ref="F38:F40"/>
    <mergeCell ref="F41:F43"/>
    <mergeCell ref="I4:I8"/>
    <mergeCell ref="I9:I10"/>
    <mergeCell ref="I11:I15"/>
    <mergeCell ref="I17:I18"/>
    <mergeCell ref="J4:J5"/>
    <mergeCell ref="J7:J8"/>
    <mergeCell ref="J11:J12"/>
    <mergeCell ref="J13:J14"/>
    <mergeCell ref="C34:F36"/>
    <mergeCell ref="A44:F45"/>
  </mergeCells>
  <printOptions/>
  <pageMargins left="0.75" right="0.75" top="1" bottom="1" header="0.5" footer="0.5"/>
  <pageSetup horizontalDpi="1200" verticalDpi="1200" orientation="portrait" paperSize="9"/>
  <legacyDrawing r:id="rId9"/>
  <oleObjects>
    <oleObject progId="AutoCAD.Drawing.16" shapeId="1" r:id="rId1"/>
    <oleObject progId="Equation.3" shapeId="4" r:id="rId2"/>
    <oleObject progId="Equation.3" shapeId="5" r:id="rId3"/>
    <oleObject progId="Equation.3" shapeId="7" r:id="rId4"/>
    <oleObject progId="Equation.3" shapeId="8" r:id="rId5"/>
    <oleObject progId="Equation.3" shapeId="10" r:id="rId6"/>
    <oleObject progId="Equation.3" shapeId="11" r:id="rId7"/>
    <oleObject progId="Equation.3" shapeId="12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workbookViewId="0" topLeftCell="A1">
      <selection activeCell="A2" sqref="A2:IV23"/>
    </sheetView>
  </sheetViews>
  <sheetFormatPr defaultColWidth="8.75390625" defaultRowHeight="14.25"/>
  <cols>
    <col min="1" max="1" width="26.625" style="0" customWidth="1"/>
    <col min="2" max="2" width="2.25390625" style="61" customWidth="1"/>
    <col min="3" max="3" width="30.125" style="0" customWidth="1"/>
    <col min="4" max="4" width="6.375" style="0" customWidth="1"/>
    <col min="5" max="5" width="4.25390625" style="61" customWidth="1"/>
    <col min="6" max="6" width="8.375" style="0" customWidth="1"/>
    <col min="7" max="7" width="2.50390625" style="0" customWidth="1"/>
    <col min="8" max="8" width="5.00390625" style="0" customWidth="1"/>
    <col min="9" max="9" width="9.375" style="0" customWidth="1"/>
    <col min="10" max="10" width="10.25390625" style="0" customWidth="1"/>
  </cols>
  <sheetData>
    <row r="1" spans="1:6" ht="18.75">
      <c r="A1" s="62" t="s">
        <v>131</v>
      </c>
      <c r="B1" s="62"/>
      <c r="C1" s="62"/>
      <c r="D1" s="62"/>
      <c r="E1" s="62"/>
      <c r="F1" s="62"/>
    </row>
    <row r="2" spans="1:16" ht="15">
      <c r="A2" s="9" t="s">
        <v>1</v>
      </c>
      <c r="B2" s="10"/>
      <c r="C2" s="10"/>
      <c r="D2" s="10"/>
      <c r="E2" s="10"/>
      <c r="F2" s="10"/>
      <c r="I2" s="93" t="s">
        <v>2</v>
      </c>
      <c r="J2" s="93"/>
      <c r="K2" s="11"/>
      <c r="L2" s="11"/>
      <c r="M2" s="11"/>
      <c r="N2" s="11"/>
      <c r="O2" s="11"/>
      <c r="P2" s="11"/>
    </row>
    <row r="3" spans="1:16" ht="19.5" customHeight="1">
      <c r="A3" s="12" t="s">
        <v>3</v>
      </c>
      <c r="B3" s="13" t="s">
        <v>4</v>
      </c>
      <c r="C3" s="14">
        <v>0.55</v>
      </c>
      <c r="D3" s="15" t="s">
        <v>5</v>
      </c>
      <c r="E3" s="16"/>
      <c r="F3" s="17"/>
      <c r="I3" s="94" t="s">
        <v>6</v>
      </c>
      <c r="J3" s="95"/>
      <c r="K3" s="95" t="s">
        <v>7</v>
      </c>
      <c r="L3" s="96" t="s">
        <v>8</v>
      </c>
      <c r="M3" s="11"/>
      <c r="N3" s="11"/>
      <c r="O3" s="11"/>
      <c r="P3" s="11"/>
    </row>
    <row r="4" spans="1:16" ht="15" customHeight="1">
      <c r="A4" s="18" t="s">
        <v>9</v>
      </c>
      <c r="B4" s="19" t="s">
        <v>4</v>
      </c>
      <c r="C4" s="20">
        <v>224</v>
      </c>
      <c r="D4" s="21" t="s">
        <v>132</v>
      </c>
      <c r="E4" s="22" t="s">
        <v>11</v>
      </c>
      <c r="F4" s="23"/>
      <c r="I4" s="97" t="s">
        <v>12</v>
      </c>
      <c r="J4" s="71" t="s">
        <v>13</v>
      </c>
      <c r="K4" s="71" t="s">
        <v>14</v>
      </c>
      <c r="L4" s="98" t="s">
        <v>15</v>
      </c>
      <c r="M4" s="11"/>
      <c r="N4" s="11"/>
      <c r="O4" s="11"/>
      <c r="P4" s="11"/>
    </row>
    <row r="5" spans="1:16" ht="15" customHeight="1">
      <c r="A5" s="18" t="s">
        <v>16</v>
      </c>
      <c r="B5" s="19" t="s">
        <v>4</v>
      </c>
      <c r="C5" s="20">
        <v>1496</v>
      </c>
      <c r="D5" s="24" t="s">
        <v>133</v>
      </c>
      <c r="E5" s="25"/>
      <c r="F5" s="26"/>
      <c r="I5" s="99"/>
      <c r="J5" s="71"/>
      <c r="K5" s="71" t="s">
        <v>18</v>
      </c>
      <c r="L5" s="100" t="s">
        <v>19</v>
      </c>
      <c r="M5" s="11"/>
      <c r="N5" s="11"/>
      <c r="O5" s="11"/>
      <c r="P5" s="11"/>
    </row>
    <row r="6" spans="1:16" ht="15" customHeight="1">
      <c r="A6" s="18" t="s">
        <v>134</v>
      </c>
      <c r="B6" s="19" t="s">
        <v>4</v>
      </c>
      <c r="C6" s="20">
        <v>1</v>
      </c>
      <c r="D6" s="24" t="s">
        <v>135</v>
      </c>
      <c r="E6" s="25"/>
      <c r="F6" s="26"/>
      <c r="I6" s="99"/>
      <c r="J6" s="71" t="s">
        <v>21</v>
      </c>
      <c r="K6" s="71" t="s">
        <v>22</v>
      </c>
      <c r="L6" s="100" t="s">
        <v>15</v>
      </c>
      <c r="M6" s="11"/>
      <c r="N6" s="11"/>
      <c r="O6" s="11"/>
      <c r="P6" s="11"/>
    </row>
    <row r="7" spans="1:16" ht="15" customHeight="1">
      <c r="A7" s="18" t="s">
        <v>23</v>
      </c>
      <c r="B7" s="19" t="s">
        <v>4</v>
      </c>
      <c r="C7" s="20">
        <v>2</v>
      </c>
      <c r="D7" s="24" t="s">
        <v>132</v>
      </c>
      <c r="E7" s="25"/>
      <c r="F7" s="26"/>
      <c r="I7" s="99"/>
      <c r="J7" s="71" t="s">
        <v>24</v>
      </c>
      <c r="K7" s="71" t="s">
        <v>14</v>
      </c>
      <c r="L7" s="100" t="s">
        <v>15</v>
      </c>
      <c r="M7" s="11"/>
      <c r="N7" s="11"/>
      <c r="O7" s="11"/>
      <c r="P7" s="11"/>
    </row>
    <row r="8" spans="1:16" ht="14.25">
      <c r="A8" s="18" t="s">
        <v>25</v>
      </c>
      <c r="B8" s="19" t="s">
        <v>4</v>
      </c>
      <c r="C8" s="20">
        <v>19.6</v>
      </c>
      <c r="D8" s="24" t="s">
        <v>132</v>
      </c>
      <c r="E8" s="25"/>
      <c r="F8" s="26"/>
      <c r="I8" s="101"/>
      <c r="J8" s="71"/>
      <c r="K8" s="71" t="s">
        <v>18</v>
      </c>
      <c r="L8" s="100" t="s">
        <v>19</v>
      </c>
      <c r="M8" s="11"/>
      <c r="N8" s="11"/>
      <c r="O8" s="11"/>
      <c r="P8" s="11"/>
    </row>
    <row r="9" spans="1:16" ht="15" customHeight="1">
      <c r="A9" s="18" t="s">
        <v>26</v>
      </c>
      <c r="B9" s="19" t="s">
        <v>4</v>
      </c>
      <c r="C9" s="20">
        <v>0</v>
      </c>
      <c r="D9" s="24" t="s">
        <v>132</v>
      </c>
      <c r="E9" s="25"/>
      <c r="F9" s="26"/>
      <c r="I9" s="102" t="s">
        <v>27</v>
      </c>
      <c r="J9" s="71" t="s">
        <v>13</v>
      </c>
      <c r="K9" s="71" t="s">
        <v>22</v>
      </c>
      <c r="L9" s="100">
        <v>0.85</v>
      </c>
      <c r="M9" s="11"/>
      <c r="N9" s="11"/>
      <c r="O9" s="11"/>
      <c r="P9" s="11"/>
    </row>
    <row r="10" spans="1:16" ht="15" customHeight="1">
      <c r="A10" s="27" t="s">
        <v>28</v>
      </c>
      <c r="B10" s="28" t="s">
        <v>4</v>
      </c>
      <c r="C10" s="29" t="s">
        <v>29</v>
      </c>
      <c r="D10" s="30" t="s">
        <v>4</v>
      </c>
      <c r="E10" s="29">
        <f>(C8-C9)</f>
        <v>19.6</v>
      </c>
      <c r="F10" s="31" t="s">
        <v>132</v>
      </c>
      <c r="I10" s="102"/>
      <c r="J10" s="71" t="s">
        <v>21</v>
      </c>
      <c r="K10" s="71" t="s">
        <v>22</v>
      </c>
      <c r="L10" s="100" t="s">
        <v>15</v>
      </c>
      <c r="M10" s="11"/>
      <c r="N10" s="11"/>
      <c r="O10" s="11"/>
      <c r="P10" s="11"/>
    </row>
    <row r="11" spans="1:16" ht="15" customHeight="1">
      <c r="A11" s="18" t="s">
        <v>30</v>
      </c>
      <c r="B11" s="19" t="s">
        <v>4</v>
      </c>
      <c r="C11" s="32" t="s">
        <v>136</v>
      </c>
      <c r="D11" s="33" t="s">
        <v>4</v>
      </c>
      <c r="E11" s="32">
        <f>C3*C3*(C8-C7)</f>
        <v>5.324000000000002</v>
      </c>
      <c r="F11" s="34" t="s">
        <v>132</v>
      </c>
      <c r="I11" s="102" t="s">
        <v>32</v>
      </c>
      <c r="J11" s="71" t="s">
        <v>13</v>
      </c>
      <c r="K11" s="71" t="s">
        <v>14</v>
      </c>
      <c r="L11" s="100" t="s">
        <v>19</v>
      </c>
      <c r="M11" s="11"/>
      <c r="N11" s="11"/>
      <c r="O11" s="11"/>
      <c r="P11" s="11"/>
    </row>
    <row r="12" spans="1:16" ht="39" customHeight="1">
      <c r="A12" s="18" t="s">
        <v>33</v>
      </c>
      <c r="B12" s="19" t="s">
        <v>4</v>
      </c>
      <c r="C12" s="32" t="s">
        <v>34</v>
      </c>
      <c r="D12" s="33" t="s">
        <v>4</v>
      </c>
      <c r="E12" s="32">
        <f>C3*C3*(C8-(0.96-0.28*SQRT(C8/C4))*C7)</f>
        <v>5.398309195762855</v>
      </c>
      <c r="F12" s="34" t="s">
        <v>132</v>
      </c>
      <c r="I12" s="102"/>
      <c r="J12" s="71"/>
      <c r="K12" s="71" t="s">
        <v>18</v>
      </c>
      <c r="L12" s="100" t="s">
        <v>15</v>
      </c>
      <c r="M12" s="11"/>
      <c r="N12" s="11"/>
      <c r="O12" s="11"/>
      <c r="P12" s="11"/>
    </row>
    <row r="13" spans="1:16" ht="14.25">
      <c r="A13" s="18" t="s">
        <v>35</v>
      </c>
      <c r="B13" s="19"/>
      <c r="C13" s="35" t="s">
        <v>36</v>
      </c>
      <c r="D13" s="36"/>
      <c r="E13" s="25"/>
      <c r="F13" s="26"/>
      <c r="I13" s="102"/>
      <c r="J13" s="71" t="s">
        <v>24</v>
      </c>
      <c r="K13" s="71" t="s">
        <v>14</v>
      </c>
      <c r="L13" s="100">
        <v>0.85</v>
      </c>
      <c r="M13" s="11"/>
      <c r="N13" s="11"/>
      <c r="O13" s="11"/>
      <c r="P13" s="11"/>
    </row>
    <row r="14" spans="1:16" ht="14.25">
      <c r="A14" s="27" t="s">
        <v>37</v>
      </c>
      <c r="B14" s="28" t="s">
        <v>4</v>
      </c>
      <c r="C14" s="37">
        <f>IF(C7&lt;C8/2,E11,E12)</f>
        <v>5.324000000000002</v>
      </c>
      <c r="D14" s="38" t="s">
        <v>132</v>
      </c>
      <c r="E14" s="39"/>
      <c r="F14" s="40"/>
      <c r="I14" s="102"/>
      <c r="J14" s="71"/>
      <c r="K14" s="71" t="s">
        <v>18</v>
      </c>
      <c r="L14" s="100" t="s">
        <v>19</v>
      </c>
      <c r="M14" s="11"/>
      <c r="N14" s="11"/>
      <c r="O14" s="11"/>
      <c r="P14" s="11"/>
    </row>
    <row r="15" spans="1:16" ht="14.25">
      <c r="A15" s="18" t="s">
        <v>38</v>
      </c>
      <c r="B15" s="19"/>
      <c r="C15" s="35" t="s">
        <v>39</v>
      </c>
      <c r="D15" s="36"/>
      <c r="E15" s="25"/>
      <c r="F15" s="26"/>
      <c r="I15" s="102"/>
      <c r="J15" s="71" t="s">
        <v>40</v>
      </c>
      <c r="K15" s="71" t="s">
        <v>18</v>
      </c>
      <c r="L15" s="100" t="s">
        <v>41</v>
      </c>
      <c r="M15" s="11"/>
      <c r="N15" s="11"/>
      <c r="O15" s="11"/>
      <c r="P15" s="11"/>
    </row>
    <row r="16" spans="1:16" ht="14.25">
      <c r="A16" s="18" t="s">
        <v>42</v>
      </c>
      <c r="B16" s="18"/>
      <c r="C16" s="41">
        <f>IF(E10&lt;C14,1,2)</f>
        <v>2</v>
      </c>
      <c r="D16" s="42"/>
      <c r="E16" s="42"/>
      <c r="F16" s="43"/>
      <c r="I16" s="103" t="s">
        <v>43</v>
      </c>
      <c r="J16" s="71" t="s">
        <v>44</v>
      </c>
      <c r="K16" s="71" t="s">
        <v>22</v>
      </c>
      <c r="L16" s="100">
        <v>0.55</v>
      </c>
      <c r="M16" s="11"/>
      <c r="O16" s="11"/>
      <c r="P16" s="11"/>
    </row>
    <row r="17" spans="1:16" ht="14.25">
      <c r="A17" s="18" t="s">
        <v>137</v>
      </c>
      <c r="B17" s="19" t="s">
        <v>4</v>
      </c>
      <c r="C17" s="44" t="s">
        <v>46</v>
      </c>
      <c r="D17" s="33" t="s">
        <v>4</v>
      </c>
      <c r="E17" s="21">
        <f>C5*SQRT(C6/E10)</f>
        <v>337.91195568656394</v>
      </c>
      <c r="F17" s="45" t="s">
        <v>47</v>
      </c>
      <c r="I17" s="103" t="s">
        <v>48</v>
      </c>
      <c r="J17" s="71" t="s">
        <v>49</v>
      </c>
      <c r="K17" s="71" t="s">
        <v>22</v>
      </c>
      <c r="L17" s="100">
        <v>0.68</v>
      </c>
      <c r="M17" s="11"/>
      <c r="N17" s="11"/>
      <c r="O17" s="11"/>
      <c r="P17" s="11"/>
    </row>
    <row r="18" spans="1:16" ht="24" customHeight="1">
      <c r="A18" s="18"/>
      <c r="B18" s="19"/>
      <c r="C18" s="44"/>
      <c r="D18" s="33"/>
      <c r="E18" s="21"/>
      <c r="F18" s="45"/>
      <c r="I18" s="104"/>
      <c r="J18" s="71" t="s">
        <v>50</v>
      </c>
      <c r="K18" s="71" t="s">
        <v>22</v>
      </c>
      <c r="L18" s="100">
        <v>0.55</v>
      </c>
      <c r="M18" s="11"/>
      <c r="O18" s="11"/>
      <c r="P18" s="11"/>
    </row>
    <row r="19" spans="1:16" ht="15">
      <c r="A19" s="18" t="s">
        <v>138</v>
      </c>
      <c r="B19" s="19" t="s">
        <v>4</v>
      </c>
      <c r="C19" s="46" t="s">
        <v>46</v>
      </c>
      <c r="D19" s="33" t="s">
        <v>4</v>
      </c>
      <c r="E19" s="21">
        <f>C5*SQRT(C6/C14)</f>
        <v>648.3545606870026</v>
      </c>
      <c r="F19" s="45" t="s">
        <v>52</v>
      </c>
      <c r="I19" s="105" t="s">
        <v>53</v>
      </c>
      <c r="J19" s="106"/>
      <c r="K19" s="107" t="s">
        <v>14</v>
      </c>
      <c r="L19" s="108">
        <v>0.85</v>
      </c>
      <c r="M19" s="11"/>
      <c r="N19" s="11"/>
      <c r="O19" s="11"/>
      <c r="P19" s="11"/>
    </row>
    <row r="20" spans="1:16" ht="28.5" customHeight="1">
      <c r="A20" s="18"/>
      <c r="B20" s="19"/>
      <c r="C20" s="44"/>
      <c r="D20" s="33"/>
      <c r="E20" s="21"/>
      <c r="F20" s="45"/>
      <c r="M20" s="11"/>
      <c r="N20" s="11"/>
      <c r="O20" s="11"/>
      <c r="P20" s="11"/>
    </row>
    <row r="21" spans="1:16" ht="16.5" customHeight="1">
      <c r="A21" s="47" t="s">
        <v>139</v>
      </c>
      <c r="B21" s="48"/>
      <c r="C21" s="48"/>
      <c r="D21" s="48"/>
      <c r="E21" s="48"/>
      <c r="F21" s="49"/>
      <c r="I21" s="93" t="s">
        <v>55</v>
      </c>
      <c r="O21" s="11"/>
      <c r="P21" s="11"/>
    </row>
    <row r="22" spans="1:16" ht="15">
      <c r="A22" s="50" t="s">
        <v>131</v>
      </c>
      <c r="B22" s="51" t="s">
        <v>4</v>
      </c>
      <c r="C22" s="52">
        <f>IF(E10&lt;C14,E17,E19)</f>
        <v>648.3545606870026</v>
      </c>
      <c r="D22" s="53"/>
      <c r="E22" s="53"/>
      <c r="F22" s="54"/>
      <c r="I22" s="94" t="s">
        <v>140</v>
      </c>
      <c r="J22" s="95" t="s">
        <v>141</v>
      </c>
      <c r="K22" s="109"/>
      <c r="L22" s="110" t="s">
        <v>140</v>
      </c>
      <c r="M22" s="95" t="s">
        <v>141</v>
      </c>
      <c r="N22" s="96"/>
      <c r="O22" s="11"/>
      <c r="P22" s="11"/>
    </row>
    <row r="23" spans="1:14" ht="15">
      <c r="A23" s="55" t="s">
        <v>0</v>
      </c>
      <c r="B23" s="56" t="s">
        <v>4</v>
      </c>
      <c r="C23" s="57">
        <f>1.176*C22</f>
        <v>762.4649633679151</v>
      </c>
      <c r="D23" s="58"/>
      <c r="E23" s="59"/>
      <c r="F23" s="60"/>
      <c r="I23" s="111" t="s">
        <v>142</v>
      </c>
      <c r="J23" s="71">
        <v>59</v>
      </c>
      <c r="K23" s="69"/>
      <c r="L23" s="112" t="s">
        <v>72</v>
      </c>
      <c r="M23" s="71">
        <v>47.2</v>
      </c>
      <c r="N23" s="100"/>
    </row>
    <row r="24" spans="2:14" ht="14.25">
      <c r="B24"/>
      <c r="I24" s="111" t="s">
        <v>143</v>
      </c>
      <c r="J24" s="71">
        <v>48.4</v>
      </c>
      <c r="K24" s="69"/>
      <c r="L24" s="112" t="s">
        <v>144</v>
      </c>
      <c r="M24" s="71">
        <v>81</v>
      </c>
      <c r="N24" s="100"/>
    </row>
    <row r="25" spans="1:14" ht="15">
      <c r="A25" s="9" t="s">
        <v>65</v>
      </c>
      <c r="B25" s="10"/>
      <c r="C25" s="10"/>
      <c r="D25" s="10"/>
      <c r="E25" s="10"/>
      <c r="F25" s="10"/>
      <c r="I25" s="111" t="s">
        <v>92</v>
      </c>
      <c r="J25" s="71">
        <v>63.7</v>
      </c>
      <c r="K25" s="69"/>
      <c r="L25" s="112" t="s">
        <v>86</v>
      </c>
      <c r="M25" s="71">
        <v>51.2</v>
      </c>
      <c r="N25" s="100"/>
    </row>
    <row r="26" spans="1:14" ht="14.25">
      <c r="A26" s="12" t="s">
        <v>3</v>
      </c>
      <c r="B26" s="13" t="s">
        <v>4</v>
      </c>
      <c r="C26" s="63">
        <v>0.9</v>
      </c>
      <c r="D26" s="15" t="s">
        <v>5</v>
      </c>
      <c r="E26" s="16"/>
      <c r="F26" s="17"/>
      <c r="I26" s="111" t="s">
        <v>145</v>
      </c>
      <c r="J26" s="71">
        <v>38.2</v>
      </c>
      <c r="K26" s="69"/>
      <c r="L26" s="112" t="s">
        <v>146</v>
      </c>
      <c r="M26" s="71">
        <v>73.8</v>
      </c>
      <c r="N26" s="100"/>
    </row>
    <row r="27" spans="1:14" ht="14.25">
      <c r="A27" s="18" t="s">
        <v>147</v>
      </c>
      <c r="B27" s="19" t="s">
        <v>4</v>
      </c>
      <c r="C27" s="64">
        <v>100</v>
      </c>
      <c r="D27" s="21" t="s">
        <v>148</v>
      </c>
      <c r="E27" s="44"/>
      <c r="F27" s="65"/>
      <c r="I27" s="111" t="s">
        <v>149</v>
      </c>
      <c r="J27" s="71">
        <v>114.5</v>
      </c>
      <c r="K27" s="69"/>
      <c r="L27" s="112" t="s">
        <v>150</v>
      </c>
      <c r="M27" s="71">
        <v>25.4</v>
      </c>
      <c r="N27" s="100"/>
    </row>
    <row r="28" spans="1:14" ht="14.25">
      <c r="A28" s="18" t="s">
        <v>151</v>
      </c>
      <c r="B28" s="19" t="s">
        <v>4</v>
      </c>
      <c r="C28" s="64">
        <v>1</v>
      </c>
      <c r="D28" s="44" t="s">
        <v>152</v>
      </c>
      <c r="E28" s="66"/>
      <c r="F28" s="67"/>
      <c r="I28" s="111" t="s">
        <v>77</v>
      </c>
      <c r="J28" s="71">
        <v>34.5</v>
      </c>
      <c r="K28" s="69"/>
      <c r="L28" s="112" t="s">
        <v>84</v>
      </c>
      <c r="M28" s="71">
        <v>73</v>
      </c>
      <c r="N28" s="100"/>
    </row>
    <row r="29" spans="1:14" ht="14.25">
      <c r="A29" s="18" t="s">
        <v>25</v>
      </c>
      <c r="B29" s="19" t="s">
        <v>4</v>
      </c>
      <c r="C29" s="64">
        <v>2</v>
      </c>
      <c r="D29" s="21" t="s">
        <v>132</v>
      </c>
      <c r="E29" s="44"/>
      <c r="F29" s="65"/>
      <c r="I29" s="111" t="s">
        <v>153</v>
      </c>
      <c r="J29" s="71">
        <v>25.7</v>
      </c>
      <c r="K29" s="69"/>
      <c r="L29" s="112" t="s">
        <v>92</v>
      </c>
      <c r="M29" s="71">
        <v>50.2</v>
      </c>
      <c r="N29" s="100"/>
    </row>
    <row r="30" spans="1:14" ht="14.25">
      <c r="A30" s="18" t="s">
        <v>26</v>
      </c>
      <c r="B30" s="19" t="s">
        <v>4</v>
      </c>
      <c r="C30" s="64">
        <v>1.1</v>
      </c>
      <c r="D30" s="21" t="s">
        <v>132</v>
      </c>
      <c r="E30" s="44"/>
      <c r="F30" s="65"/>
      <c r="I30" s="111" t="s">
        <v>113</v>
      </c>
      <c r="J30" s="71">
        <v>2.33</v>
      </c>
      <c r="K30" s="69"/>
      <c r="L30" s="112" t="s">
        <v>154</v>
      </c>
      <c r="M30" s="71">
        <v>65</v>
      </c>
      <c r="N30" s="100"/>
    </row>
    <row r="31" spans="1:14" ht="14.25">
      <c r="A31" s="27" t="s">
        <v>28</v>
      </c>
      <c r="B31" s="28" t="s">
        <v>4</v>
      </c>
      <c r="C31" s="68" t="s">
        <v>29</v>
      </c>
      <c r="D31" s="30" t="s">
        <v>4</v>
      </c>
      <c r="E31" s="37">
        <f>C29-C30</f>
        <v>0.8999999999999999</v>
      </c>
      <c r="F31" s="31" t="s">
        <v>132</v>
      </c>
      <c r="I31" s="111" t="s">
        <v>117</v>
      </c>
      <c r="J31" s="71">
        <v>13.1</v>
      </c>
      <c r="K31" s="69"/>
      <c r="L31" s="112" t="s">
        <v>155</v>
      </c>
      <c r="M31" s="71">
        <v>84</v>
      </c>
      <c r="N31" s="100"/>
    </row>
    <row r="32" spans="1:14" ht="14.25">
      <c r="A32" s="18" t="s">
        <v>156</v>
      </c>
      <c r="B32" s="22" t="s">
        <v>4</v>
      </c>
      <c r="C32" s="64">
        <v>20</v>
      </c>
      <c r="D32" s="32" t="s">
        <v>157</v>
      </c>
      <c r="E32" s="69"/>
      <c r="F32" s="26"/>
      <c r="I32" s="111" t="s">
        <v>62</v>
      </c>
      <c r="J32" s="71">
        <v>49.4</v>
      </c>
      <c r="K32" s="69"/>
      <c r="L32" s="112" t="s">
        <v>94</v>
      </c>
      <c r="M32" s="71">
        <v>43.2</v>
      </c>
      <c r="N32" s="100"/>
    </row>
    <row r="33" spans="1:14" ht="15.75" customHeight="1">
      <c r="A33" s="70" t="s">
        <v>107</v>
      </c>
      <c r="B33" s="71"/>
      <c r="C33" s="33" t="s">
        <v>108</v>
      </c>
      <c r="D33" s="72"/>
      <c r="E33" s="72"/>
      <c r="F33" s="73"/>
      <c r="I33" s="111" t="s">
        <v>66</v>
      </c>
      <c r="J33" s="71">
        <v>49</v>
      </c>
      <c r="K33" s="69"/>
      <c r="L33" s="112" t="s">
        <v>158</v>
      </c>
      <c r="M33" s="71">
        <v>80</v>
      </c>
      <c r="N33" s="100"/>
    </row>
    <row r="34" spans="1:14" ht="14.25">
      <c r="A34" s="74"/>
      <c r="B34" s="75"/>
      <c r="C34" s="66"/>
      <c r="D34" s="66"/>
      <c r="E34" s="66"/>
      <c r="F34" s="67"/>
      <c r="I34" s="111" t="s">
        <v>159</v>
      </c>
      <c r="J34" s="71">
        <v>75</v>
      </c>
      <c r="K34" s="69"/>
      <c r="L34" s="112" t="s">
        <v>123</v>
      </c>
      <c r="M34" s="71">
        <v>224</v>
      </c>
      <c r="N34" s="100"/>
    </row>
    <row r="35" spans="1:14" ht="13.5" customHeight="1">
      <c r="A35" s="74"/>
      <c r="B35" s="75"/>
      <c r="C35" s="66"/>
      <c r="D35" s="66"/>
      <c r="E35" s="66"/>
      <c r="F35" s="67"/>
      <c r="I35" s="113" t="s">
        <v>160</v>
      </c>
      <c r="J35" s="107">
        <v>36</v>
      </c>
      <c r="K35" s="114"/>
      <c r="L35" s="115" t="s">
        <v>161</v>
      </c>
      <c r="M35" s="107">
        <v>34</v>
      </c>
      <c r="N35" s="108"/>
    </row>
    <row r="36" spans="1:6" ht="14.25">
      <c r="A36" s="18" t="s">
        <v>42</v>
      </c>
      <c r="B36" s="71"/>
      <c r="C36" s="76">
        <f>IF(E31/C29&lt;0.5*C26*C26,1,2)</f>
        <v>2</v>
      </c>
      <c r="D36" s="66"/>
      <c r="E36" s="66"/>
      <c r="F36" s="67"/>
    </row>
    <row r="37" spans="1:6" ht="14.25">
      <c r="A37" s="18" t="s">
        <v>137</v>
      </c>
      <c r="B37" s="22" t="s">
        <v>4</v>
      </c>
      <c r="C37" s="77"/>
      <c r="D37" s="19" t="s">
        <v>4</v>
      </c>
      <c r="E37" s="78">
        <f>C27/380*SQRT((C28*(273+C32))/(E31*(C29+C30)))</f>
        <v>2.696796102916041</v>
      </c>
      <c r="F37" s="79" t="s">
        <v>47</v>
      </c>
    </row>
    <row r="38" spans="1:6" ht="14.25">
      <c r="A38" s="74"/>
      <c r="B38" s="75"/>
      <c r="C38" s="66"/>
      <c r="D38" s="66"/>
      <c r="E38" s="80"/>
      <c r="F38" s="79"/>
    </row>
    <row r="39" spans="1:6" ht="14.25">
      <c r="A39" s="74"/>
      <c r="B39" s="75"/>
      <c r="C39" s="66"/>
      <c r="D39" s="66"/>
      <c r="E39" s="80"/>
      <c r="F39" s="79"/>
    </row>
    <row r="40" spans="1:14" ht="14.25">
      <c r="A40" s="18" t="s">
        <v>138</v>
      </c>
      <c r="B40" s="22" t="s">
        <v>4</v>
      </c>
      <c r="C40" s="81" t="s">
        <v>162</v>
      </c>
      <c r="D40" s="19" t="s">
        <v>4</v>
      </c>
      <c r="E40" s="78">
        <f>(C27/330)*SQRT(C28*(273+C32))/(C29*C26)</f>
        <v>2.8816907017884996</v>
      </c>
      <c r="F40" s="79" t="s">
        <v>52</v>
      </c>
      <c r="I40" s="11"/>
      <c r="J40" s="11"/>
      <c r="K40" s="11"/>
      <c r="L40" s="11"/>
      <c r="M40" s="11"/>
      <c r="N40" s="11"/>
    </row>
    <row r="41" spans="1:14" ht="14.25">
      <c r="A41" s="18"/>
      <c r="B41" s="75"/>
      <c r="C41" s="66"/>
      <c r="D41" s="66"/>
      <c r="E41" s="80"/>
      <c r="F41" s="79"/>
      <c r="I41" s="11"/>
      <c r="J41" s="11"/>
      <c r="K41" s="11"/>
      <c r="L41" s="11"/>
      <c r="M41" s="11"/>
      <c r="N41" s="11"/>
    </row>
    <row r="42" spans="1:14" ht="14.25">
      <c r="A42" s="18"/>
      <c r="B42" s="75"/>
      <c r="C42" s="66"/>
      <c r="D42" s="66"/>
      <c r="E42" s="80"/>
      <c r="F42" s="79"/>
      <c r="I42" s="11"/>
      <c r="J42" s="11"/>
      <c r="K42" s="11"/>
      <c r="L42" s="11"/>
      <c r="M42" s="11"/>
      <c r="N42" s="11"/>
    </row>
    <row r="43" spans="1:9" ht="14.25">
      <c r="A43" s="82" t="s">
        <v>163</v>
      </c>
      <c r="B43" s="83"/>
      <c r="C43" s="83"/>
      <c r="D43" s="83"/>
      <c r="E43" s="83"/>
      <c r="F43" s="84"/>
      <c r="I43" s="93"/>
    </row>
    <row r="44" spans="1:6" ht="14.25">
      <c r="A44" s="85"/>
      <c r="B44" s="86"/>
      <c r="C44" s="86"/>
      <c r="D44" s="86"/>
      <c r="E44" s="86"/>
      <c r="F44" s="87"/>
    </row>
    <row r="45" spans="1:6" ht="15">
      <c r="A45" s="50" t="s">
        <v>131</v>
      </c>
      <c r="B45" s="51" t="s">
        <v>4</v>
      </c>
      <c r="C45" s="88">
        <f>IF((E31/C29)&lt;(0.5*C26*C26),E37,E40)</f>
        <v>2.8816907017884996</v>
      </c>
      <c r="D45" s="89"/>
      <c r="E45" s="90"/>
      <c r="F45" s="91"/>
    </row>
    <row r="46" spans="2:5" ht="14.25">
      <c r="B46"/>
      <c r="E46"/>
    </row>
    <row r="47" spans="1:5" ht="14.25">
      <c r="A47" s="92" t="s">
        <v>127</v>
      </c>
      <c r="B47"/>
      <c r="E47"/>
    </row>
    <row r="48" spans="1:5" ht="14.25">
      <c r="A48" s="11" t="s">
        <v>128</v>
      </c>
      <c r="B48"/>
      <c r="E48"/>
    </row>
    <row r="49" spans="1:5" ht="14.25">
      <c r="A49" s="11" t="s">
        <v>164</v>
      </c>
      <c r="B49"/>
      <c r="E49"/>
    </row>
    <row r="50" spans="1:5" ht="14.25">
      <c r="A50" s="11" t="s">
        <v>165</v>
      </c>
      <c r="B50"/>
      <c r="E50"/>
    </row>
  </sheetData>
  <sheetProtection/>
  <mergeCells count="87">
    <mergeCell ref="A1:F1"/>
    <mergeCell ref="A2:F2"/>
    <mergeCell ref="D3:F3"/>
    <mergeCell ref="I3:J3"/>
    <mergeCell ref="E4:F4"/>
    <mergeCell ref="D5:F5"/>
    <mergeCell ref="D6:F6"/>
    <mergeCell ref="D7:F7"/>
    <mergeCell ref="D8:F8"/>
    <mergeCell ref="D9:F9"/>
    <mergeCell ref="C13:F13"/>
    <mergeCell ref="D14:F14"/>
    <mergeCell ref="C15:F15"/>
    <mergeCell ref="C16:F16"/>
    <mergeCell ref="I19:J19"/>
    <mergeCell ref="A21:F21"/>
    <mergeCell ref="J22:K22"/>
    <mergeCell ref="M22:N22"/>
    <mergeCell ref="J23:K23"/>
    <mergeCell ref="M23:N23"/>
    <mergeCell ref="J24:K24"/>
    <mergeCell ref="M24:N24"/>
    <mergeCell ref="A25:F25"/>
    <mergeCell ref="J25:K25"/>
    <mergeCell ref="M25:N25"/>
    <mergeCell ref="D26:F26"/>
    <mergeCell ref="J26:K26"/>
    <mergeCell ref="M26:N26"/>
    <mergeCell ref="D27:F27"/>
    <mergeCell ref="J27:K27"/>
    <mergeCell ref="M27:N27"/>
    <mergeCell ref="D28:F28"/>
    <mergeCell ref="J28:K28"/>
    <mergeCell ref="M28:N28"/>
    <mergeCell ref="D29:F29"/>
    <mergeCell ref="J29:K29"/>
    <mergeCell ref="M29:N29"/>
    <mergeCell ref="D30:F30"/>
    <mergeCell ref="J30:K30"/>
    <mergeCell ref="M30:N30"/>
    <mergeCell ref="J31:K31"/>
    <mergeCell ref="M31:N31"/>
    <mergeCell ref="J32:K32"/>
    <mergeCell ref="M32:N32"/>
    <mergeCell ref="J33:K33"/>
    <mergeCell ref="M33:N33"/>
    <mergeCell ref="J34:K34"/>
    <mergeCell ref="M34:N34"/>
    <mergeCell ref="J35:K35"/>
    <mergeCell ref="M35:N35"/>
    <mergeCell ref="C36:F36"/>
    <mergeCell ref="A17:A18"/>
    <mergeCell ref="A19:A20"/>
    <mergeCell ref="A33:A35"/>
    <mergeCell ref="A37:A39"/>
    <mergeCell ref="A40:A42"/>
    <mergeCell ref="B17:B18"/>
    <mergeCell ref="B19:B20"/>
    <mergeCell ref="B33:B35"/>
    <mergeCell ref="B37:B39"/>
    <mergeCell ref="B40:B42"/>
    <mergeCell ref="C17:C18"/>
    <mergeCell ref="C19:C20"/>
    <mergeCell ref="C37:C39"/>
    <mergeCell ref="C40:C42"/>
    <mergeCell ref="D17:D18"/>
    <mergeCell ref="D19:D20"/>
    <mergeCell ref="D37:D39"/>
    <mergeCell ref="D40:D42"/>
    <mergeCell ref="E17:E18"/>
    <mergeCell ref="E19:E20"/>
    <mergeCell ref="E37:E39"/>
    <mergeCell ref="E40:E42"/>
    <mergeCell ref="F17:F18"/>
    <mergeCell ref="F19:F20"/>
    <mergeCell ref="F37:F39"/>
    <mergeCell ref="F40:F42"/>
    <mergeCell ref="I4:I8"/>
    <mergeCell ref="I9:I10"/>
    <mergeCell ref="I11:I15"/>
    <mergeCell ref="I17:I18"/>
    <mergeCell ref="J4:J5"/>
    <mergeCell ref="J7:J8"/>
    <mergeCell ref="J11:J12"/>
    <mergeCell ref="J13:J14"/>
    <mergeCell ref="A43:F44"/>
    <mergeCell ref="C33:F35"/>
  </mergeCells>
  <printOptions/>
  <pageMargins left="0.75" right="0.75" top="1" bottom="1" header="0.5" footer="0.5"/>
  <pageSetup horizontalDpi="1200" verticalDpi="1200" orientation="portrait" paperSize="9"/>
  <legacyDrawing r:id="rId12"/>
  <oleObjects>
    <oleObject progId="AutoCAD.Drawing.16" shapeId="1" r:id="rId1"/>
    <oleObject progId="Equation.3" shapeId="4" r:id="rId2"/>
    <oleObject progId="Equation.3" shapeId="5" r:id="rId3"/>
    <oleObject progId="Equation.3" shapeId="8" r:id="rId4"/>
    <oleObject progId="Equation.3" shapeId="9" r:id="rId5"/>
    <oleObject progId="Equation.3" shapeId="10" r:id="rId6"/>
    <oleObject progId="Equation.3" shapeId="11" r:id="rId7"/>
    <oleObject progId="Equation.3" shapeId="15" r:id="rId8"/>
    <oleObject progId="Equation.3" shapeId="16" r:id="rId9"/>
    <oleObject progId="Equation.3" shapeId="17" r:id="rId10"/>
    <oleObject progId="Equation.3" shapeId="21" r:id="rId1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35"/>
  <sheetViews>
    <sheetView showGridLines="0" workbookViewId="0" topLeftCell="A1">
      <selection activeCell="C16" sqref="C16"/>
    </sheetView>
  </sheetViews>
  <sheetFormatPr defaultColWidth="8.75390625" defaultRowHeight="14.25"/>
  <cols>
    <col min="1" max="1" width="16.75390625" style="1" customWidth="1"/>
    <col min="2" max="2" width="3.25390625" style="2" customWidth="1"/>
    <col min="3" max="3" width="20.75390625" style="3" customWidth="1"/>
    <col min="4" max="4" width="6.50390625" style="4" customWidth="1"/>
    <col min="5" max="5" width="11.25390625" style="3" bestFit="1" customWidth="1"/>
    <col min="6" max="6" width="7.50390625" style="0" customWidth="1"/>
  </cols>
  <sheetData>
    <row r="2" spans="1:4" ht="14.25">
      <c r="A2" s="1" t="s">
        <v>166</v>
      </c>
      <c r="B2" s="2" t="s">
        <v>4</v>
      </c>
      <c r="C2" s="3">
        <v>76</v>
      </c>
      <c r="D2" s="4" t="s">
        <v>167</v>
      </c>
    </row>
    <row r="3" spans="1:6" ht="14.25">
      <c r="A3" s="1" t="s">
        <v>168</v>
      </c>
      <c r="B3" s="2" t="s">
        <v>4</v>
      </c>
      <c r="C3" s="5" t="s">
        <v>169</v>
      </c>
      <c r="D3" s="4" t="s">
        <v>4</v>
      </c>
      <c r="E3" s="3">
        <f>3.14/4*C2*C2</f>
        <v>4534.16</v>
      </c>
      <c r="F3" s="6" t="s">
        <v>170</v>
      </c>
    </row>
    <row r="4" ht="14.25">
      <c r="F4" s="7"/>
    </row>
    <row r="5" spans="1:3" ht="14.25">
      <c r="A5" s="1" t="s">
        <v>171</v>
      </c>
      <c r="B5" s="2" t="s">
        <v>4</v>
      </c>
      <c r="C5" s="3">
        <v>0.1</v>
      </c>
    </row>
    <row r="6" spans="1:4" ht="14.25">
      <c r="A6" s="1" t="s">
        <v>172</v>
      </c>
      <c r="B6" s="2" t="s">
        <v>4</v>
      </c>
      <c r="C6" s="3">
        <v>1</v>
      </c>
      <c r="D6" s="8" t="s">
        <v>173</v>
      </c>
    </row>
    <row r="7" spans="1:4" ht="14.25">
      <c r="A7" s="1" t="s">
        <v>174</v>
      </c>
      <c r="B7" s="2" t="s">
        <v>4</v>
      </c>
      <c r="C7" s="3">
        <v>1.96</v>
      </c>
      <c r="D7" s="8" t="s">
        <v>175</v>
      </c>
    </row>
    <row r="8" spans="1:4" ht="14.25">
      <c r="A8" s="1" t="s">
        <v>176</v>
      </c>
      <c r="B8" s="2" t="s">
        <v>4</v>
      </c>
      <c r="C8" s="3">
        <v>0</v>
      </c>
      <c r="D8" s="8" t="s">
        <v>175</v>
      </c>
    </row>
    <row r="9" spans="1:6" ht="14.25">
      <c r="A9" s="1" t="s">
        <v>177</v>
      </c>
      <c r="B9" s="2" t="s">
        <v>4</v>
      </c>
      <c r="C9" s="5" t="s">
        <v>178</v>
      </c>
      <c r="D9" s="4" t="s">
        <v>4</v>
      </c>
      <c r="E9" s="3">
        <f>E3/C5*SQRT(2*(C7-C8)/C6)</f>
        <v>89771.7879235743</v>
      </c>
      <c r="F9" s="8" t="s">
        <v>179</v>
      </c>
    </row>
    <row r="10" ht="14.25">
      <c r="F10" s="4"/>
    </row>
    <row r="11" spans="4:6" ht="16.5">
      <c r="D11" s="4" t="s">
        <v>4</v>
      </c>
      <c r="E11" s="3">
        <f>E9/60</f>
        <v>1496.196465392905</v>
      </c>
      <c r="F11" t="s">
        <v>180</v>
      </c>
    </row>
    <row r="14" spans="1:9" ht="15">
      <c r="A14" s="9" t="s">
        <v>1</v>
      </c>
      <c r="B14" s="10"/>
      <c r="C14" s="10"/>
      <c r="D14" s="10"/>
      <c r="E14" s="10"/>
      <c r="F14" s="10"/>
      <c r="H14" s="11"/>
      <c r="I14" s="11"/>
    </row>
    <row r="15" spans="1:9" ht="19.5" customHeight="1">
      <c r="A15" s="12" t="s">
        <v>3</v>
      </c>
      <c r="B15" s="13" t="s">
        <v>4</v>
      </c>
      <c r="C15" s="14">
        <v>0.55</v>
      </c>
      <c r="D15" s="15" t="s">
        <v>5</v>
      </c>
      <c r="E15" s="16"/>
      <c r="F15" s="17"/>
      <c r="H15" s="11"/>
      <c r="I15" s="11"/>
    </row>
    <row r="16" spans="1:9" ht="15" customHeight="1">
      <c r="A16" s="18" t="s">
        <v>9</v>
      </c>
      <c r="B16" s="19" t="s">
        <v>4</v>
      </c>
      <c r="C16" s="20">
        <v>224</v>
      </c>
      <c r="D16" s="21" t="s">
        <v>132</v>
      </c>
      <c r="E16" s="22" t="s">
        <v>11</v>
      </c>
      <c r="F16" s="23"/>
      <c r="H16" s="11"/>
      <c r="I16" s="11"/>
    </row>
    <row r="17" spans="1:9" ht="15" customHeight="1">
      <c r="A17" s="18" t="s">
        <v>16</v>
      </c>
      <c r="B17" s="19" t="s">
        <v>4</v>
      </c>
      <c r="C17" s="20">
        <f>E11</f>
        <v>1496.196465392905</v>
      </c>
      <c r="D17" s="24" t="s">
        <v>133</v>
      </c>
      <c r="E17" s="25"/>
      <c r="F17" s="26"/>
      <c r="H17" s="11"/>
      <c r="I17" s="11"/>
    </row>
    <row r="18" spans="1:9" ht="15" customHeight="1">
      <c r="A18" s="18" t="s">
        <v>134</v>
      </c>
      <c r="B18" s="19" t="s">
        <v>4</v>
      </c>
      <c r="C18" s="20">
        <v>1</v>
      </c>
      <c r="D18" s="24" t="s">
        <v>135</v>
      </c>
      <c r="E18" s="25"/>
      <c r="F18" s="26"/>
      <c r="H18" s="11"/>
      <c r="I18" s="11"/>
    </row>
    <row r="19" spans="1:9" ht="15" customHeight="1">
      <c r="A19" s="18" t="s">
        <v>23</v>
      </c>
      <c r="B19" s="19" t="s">
        <v>4</v>
      </c>
      <c r="C19" s="20">
        <v>20</v>
      </c>
      <c r="D19" s="24" t="s">
        <v>132</v>
      </c>
      <c r="E19" s="25"/>
      <c r="F19" s="26"/>
      <c r="H19" s="11"/>
      <c r="I19" s="11"/>
    </row>
    <row r="20" spans="1:9" ht="14.25">
      <c r="A20" s="18" t="s">
        <v>25</v>
      </c>
      <c r="B20" s="19" t="s">
        <v>4</v>
      </c>
      <c r="C20" s="20">
        <v>51</v>
      </c>
      <c r="D20" s="24" t="s">
        <v>132</v>
      </c>
      <c r="E20" s="25"/>
      <c r="F20" s="26"/>
      <c r="H20" s="11"/>
      <c r="I20" s="11"/>
    </row>
    <row r="21" spans="1:9" ht="15" customHeight="1">
      <c r="A21" s="18" t="s">
        <v>26</v>
      </c>
      <c r="B21" s="19" t="s">
        <v>4</v>
      </c>
      <c r="C21" s="20">
        <v>0</v>
      </c>
      <c r="D21" s="24" t="s">
        <v>132</v>
      </c>
      <c r="E21" s="25"/>
      <c r="F21" s="26"/>
      <c r="H21" s="11"/>
      <c r="I21" s="11"/>
    </row>
    <row r="22" spans="1:9" ht="15" customHeight="1">
      <c r="A22" s="27" t="s">
        <v>28</v>
      </c>
      <c r="B22" s="28" t="s">
        <v>4</v>
      </c>
      <c r="C22" s="29" t="s">
        <v>29</v>
      </c>
      <c r="D22" s="30" t="s">
        <v>4</v>
      </c>
      <c r="E22" s="29">
        <f>(C20-C21)</f>
        <v>51</v>
      </c>
      <c r="F22" s="31" t="s">
        <v>132</v>
      </c>
      <c r="H22" s="11"/>
      <c r="I22" s="11"/>
    </row>
    <row r="23" spans="1:9" ht="15" customHeight="1">
      <c r="A23" s="18" t="s">
        <v>30</v>
      </c>
      <c r="B23" s="19" t="s">
        <v>4</v>
      </c>
      <c r="C23" s="32" t="s">
        <v>136</v>
      </c>
      <c r="D23" s="33" t="s">
        <v>4</v>
      </c>
      <c r="E23" s="32">
        <f>C15*C15*(C20-C19)</f>
        <v>9.377500000000001</v>
      </c>
      <c r="F23" s="34" t="s">
        <v>132</v>
      </c>
      <c r="H23" s="11"/>
      <c r="I23" s="11"/>
    </row>
    <row r="24" spans="1:9" ht="39" customHeight="1">
      <c r="A24" s="18" t="s">
        <v>33</v>
      </c>
      <c r="B24" s="19" t="s">
        <v>4</v>
      </c>
      <c r="C24" s="32" t="s">
        <v>34</v>
      </c>
      <c r="D24" s="33" t="s">
        <v>4</v>
      </c>
      <c r="E24" s="32">
        <f>C15*C15*(C20-(0.96-0.28*SQRT(C20/C16))*C19)</f>
        <v>10.42780354756119</v>
      </c>
      <c r="F24" s="34" t="s">
        <v>132</v>
      </c>
      <c r="H24" s="11"/>
      <c r="I24" s="11"/>
    </row>
    <row r="25" spans="1:9" ht="14.25">
      <c r="A25" s="18" t="s">
        <v>35</v>
      </c>
      <c r="B25" s="19"/>
      <c r="C25" s="35" t="s">
        <v>36</v>
      </c>
      <c r="D25" s="36"/>
      <c r="E25" s="25"/>
      <c r="F25" s="26"/>
      <c r="H25" s="11"/>
      <c r="I25" s="11"/>
    </row>
    <row r="26" spans="1:9" ht="14.25">
      <c r="A26" s="27" t="s">
        <v>37</v>
      </c>
      <c r="B26" s="28" t="s">
        <v>4</v>
      </c>
      <c r="C26" s="37">
        <f>IF(C19&lt;C20/2,E23,E24)</f>
        <v>9.377500000000001</v>
      </c>
      <c r="D26" s="38" t="s">
        <v>132</v>
      </c>
      <c r="E26" s="39"/>
      <c r="F26" s="40"/>
      <c r="H26" s="11"/>
      <c r="I26" s="11"/>
    </row>
    <row r="27" spans="1:9" ht="14.25">
      <c r="A27" s="18" t="s">
        <v>38</v>
      </c>
      <c r="B27" s="19"/>
      <c r="C27" s="35" t="s">
        <v>39</v>
      </c>
      <c r="D27" s="36"/>
      <c r="E27" s="25"/>
      <c r="F27" s="26"/>
      <c r="H27" s="11"/>
      <c r="I27" s="11"/>
    </row>
    <row r="28" spans="1:9" ht="14.25">
      <c r="A28" s="18" t="s">
        <v>42</v>
      </c>
      <c r="B28" s="18"/>
      <c r="C28" s="41">
        <f>IF(E22&lt;C26,1,2)</f>
        <v>2</v>
      </c>
      <c r="D28" s="42"/>
      <c r="E28" s="42"/>
      <c r="F28" s="43"/>
      <c r="H28" s="11"/>
      <c r="I28" s="11"/>
    </row>
    <row r="29" spans="1:9" ht="14.25">
      <c r="A29" s="18" t="s">
        <v>137</v>
      </c>
      <c r="B29" s="19" t="s">
        <v>4</v>
      </c>
      <c r="C29" s="44" t="s">
        <v>46</v>
      </c>
      <c r="D29" s="33" t="s">
        <v>4</v>
      </c>
      <c r="E29" s="21">
        <f>C17*SQRT(C18/E22)</f>
        <v>209.50941122827882</v>
      </c>
      <c r="F29" s="45" t="s">
        <v>47</v>
      </c>
      <c r="H29" s="11"/>
      <c r="I29" s="11"/>
    </row>
    <row r="30" spans="1:9" ht="24" customHeight="1">
      <c r="A30" s="18"/>
      <c r="B30" s="19"/>
      <c r="C30" s="44"/>
      <c r="D30" s="33"/>
      <c r="E30" s="21"/>
      <c r="F30" s="45"/>
      <c r="H30" s="11"/>
      <c r="I30" s="11"/>
    </row>
    <row r="31" spans="1:9" ht="14.25">
      <c r="A31" s="18" t="s">
        <v>138</v>
      </c>
      <c r="B31" s="19" t="s">
        <v>4</v>
      </c>
      <c r="C31" s="46" t="s">
        <v>46</v>
      </c>
      <c r="D31" s="33" t="s">
        <v>4</v>
      </c>
      <c r="E31" s="21">
        <f>C17*SQRT(C18/C26)</f>
        <v>488.5905782877923</v>
      </c>
      <c r="F31" s="45" t="s">
        <v>52</v>
      </c>
      <c r="H31" s="11"/>
      <c r="I31" s="11"/>
    </row>
    <row r="32" spans="1:9" ht="28.5" customHeight="1">
      <c r="A32" s="18"/>
      <c r="B32" s="19"/>
      <c r="C32" s="44"/>
      <c r="D32" s="33"/>
      <c r="E32" s="21"/>
      <c r="F32" s="45"/>
      <c r="H32" s="11"/>
      <c r="I32" s="11"/>
    </row>
    <row r="33" spans="1:9" ht="16.5" customHeight="1">
      <c r="A33" s="47" t="s">
        <v>139</v>
      </c>
      <c r="B33" s="48"/>
      <c r="C33" s="48"/>
      <c r="D33" s="48"/>
      <c r="E33" s="48"/>
      <c r="F33" s="49"/>
      <c r="H33" s="11"/>
      <c r="I33" s="11"/>
    </row>
    <row r="34" spans="1:9" ht="15">
      <c r="A34" s="50" t="s">
        <v>131</v>
      </c>
      <c r="B34" s="51" t="s">
        <v>4</v>
      </c>
      <c r="C34" s="52">
        <f>IF(E22&lt;C26,E29,E31)</f>
        <v>488.5905782877923</v>
      </c>
      <c r="D34" s="53"/>
      <c r="E34" s="53"/>
      <c r="F34" s="54"/>
      <c r="H34" s="11"/>
      <c r="I34" s="11"/>
    </row>
    <row r="35" spans="1:6" ht="15">
      <c r="A35" s="55" t="s">
        <v>0</v>
      </c>
      <c r="B35" s="56" t="s">
        <v>4</v>
      </c>
      <c r="C35" s="57">
        <f>1.176*C34</f>
        <v>574.5825200664437</v>
      </c>
      <c r="D35" s="58"/>
      <c r="E35" s="59"/>
      <c r="F35" s="60"/>
    </row>
  </sheetData>
  <sheetProtection/>
  <mergeCells count="37">
    <mergeCell ref="A14:F14"/>
    <mergeCell ref="D15:F15"/>
    <mergeCell ref="E16:F16"/>
    <mergeCell ref="D17:F17"/>
    <mergeCell ref="D18:F18"/>
    <mergeCell ref="D19:F19"/>
    <mergeCell ref="D20:F20"/>
    <mergeCell ref="D21:F21"/>
    <mergeCell ref="C25:F25"/>
    <mergeCell ref="D26:F26"/>
    <mergeCell ref="C27:F27"/>
    <mergeCell ref="C28:F28"/>
    <mergeCell ref="A33:F33"/>
    <mergeCell ref="A3:A4"/>
    <mergeCell ref="A9:A10"/>
    <mergeCell ref="A29:A30"/>
    <mergeCell ref="A31:A32"/>
    <mergeCell ref="B3:B4"/>
    <mergeCell ref="B9:B10"/>
    <mergeCell ref="B29:B30"/>
    <mergeCell ref="B31:B32"/>
    <mergeCell ref="C3:C4"/>
    <mergeCell ref="C9:C10"/>
    <mergeCell ref="C29:C30"/>
    <mergeCell ref="C31:C32"/>
    <mergeCell ref="D3:D4"/>
    <mergeCell ref="D9:D10"/>
    <mergeCell ref="D29:D30"/>
    <mergeCell ref="D31:D32"/>
    <mergeCell ref="E3:E4"/>
    <mergeCell ref="E9:E10"/>
    <mergeCell ref="E29:E30"/>
    <mergeCell ref="E31:E32"/>
    <mergeCell ref="F3:F4"/>
    <mergeCell ref="F9:F10"/>
    <mergeCell ref="F29:F30"/>
    <mergeCell ref="F31:F32"/>
  </mergeCells>
  <printOptions/>
  <pageMargins left="0.75" right="0.75" top="1" bottom="1" header="0.5" footer="0.5"/>
  <pageSetup horizontalDpi="1200" verticalDpi="1200" orientation="portrait" paperSize="9"/>
  <legacyDrawing r:id="rId7"/>
  <oleObjects>
    <oleObject progId="Equation.3" shapeId="2" r:id="rId1"/>
    <oleObject progId="Equation.3" shapeId="3" r:id="rId2"/>
    <oleObject progId="AutoCAD.Drawing.16" shapeId="5" r:id="rId3"/>
    <oleObject progId="AutoCAD.Drawing.16" shapeId="8" r:id="rId4"/>
    <oleObject progId="Equation.3" shapeId="9" r:id="rId5"/>
    <oleObject progId="Equation.3" shapeId="1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小城</cp:lastModifiedBy>
  <dcterms:created xsi:type="dcterms:W3CDTF">2007-03-27T01:50:13Z</dcterms:created>
  <dcterms:modified xsi:type="dcterms:W3CDTF">2022-04-07T01:08:16Z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B72A5AC19F9A4B32B014AF80396C7B14</vt:lpwstr>
  </property>
</Properties>
</file>